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utkovap\Desktop\Legislatíva\Zavedenie terapeutických skupín\Podkladové materiály\Zákon\Verzia nový ŠT1\Verzia po vláde\"/>
    </mc:Choice>
  </mc:AlternateContent>
  <bookViews>
    <workbookView xWindow="0" yWindow="0" windowWidth="28800" windowHeight="11985"/>
  </bookViews>
  <sheets>
    <sheet name="SFLP"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48" i="1" l="1"/>
  <c r="E148" i="1"/>
  <c r="F148" i="1"/>
  <c r="C148" i="1"/>
  <c r="C166" i="1"/>
  <c r="F107" i="1" l="1"/>
  <c r="F106" i="1"/>
  <c r="D138" i="1"/>
  <c r="C112" i="1"/>
  <c r="Q29" i="1" l="1"/>
  <c r="D112" i="1" l="1"/>
  <c r="E112" i="1"/>
  <c r="F112" i="1"/>
  <c r="F153" i="1" l="1"/>
  <c r="F104" i="1"/>
  <c r="F126" i="1" s="1"/>
  <c r="F76" i="1"/>
  <c r="F77" i="1"/>
  <c r="F80" i="1"/>
  <c r="F138" i="1" s="1"/>
  <c r="F81" i="1"/>
  <c r="C61" i="1"/>
  <c r="C42" i="1"/>
  <c r="C34" i="1"/>
  <c r="C33" i="1"/>
  <c r="Q32" i="1"/>
  <c r="P29" i="1"/>
  <c r="O29" i="1"/>
  <c r="N29" i="1"/>
  <c r="M29" i="1"/>
  <c r="L29" i="1"/>
  <c r="K29" i="1"/>
  <c r="C25" i="1"/>
  <c r="J8" i="1"/>
  <c r="I8" i="1"/>
  <c r="H8" i="1"/>
  <c r="D33" i="1" s="1"/>
  <c r="J14" i="1"/>
  <c r="I14" i="1"/>
  <c r="H14" i="1"/>
  <c r="F8" i="1"/>
  <c r="F115" i="1" s="1"/>
  <c r="F114" i="1" s="1"/>
  <c r="F162" i="1" l="1"/>
  <c r="F163" i="1" s="1"/>
  <c r="E42" i="1"/>
  <c r="D42" i="1"/>
  <c r="U66" i="1"/>
  <c r="F29" i="1" s="1"/>
  <c r="F74" i="1" s="1"/>
  <c r="F42" i="1"/>
  <c r="E33" i="1"/>
  <c r="F33" i="1"/>
  <c r="D34" i="1"/>
  <c r="F25" i="1"/>
  <c r="F165" i="1" s="1"/>
  <c r="E34" i="1"/>
  <c r="F34" i="1"/>
  <c r="F75" i="1" s="1"/>
  <c r="E25" i="1"/>
  <c r="E165" i="1" s="1"/>
  <c r="C153" i="1"/>
  <c r="Q60" i="1" l="1"/>
  <c r="K60" i="1"/>
  <c r="Q63" i="1"/>
  <c r="S60" i="1"/>
  <c r="L60" i="1"/>
  <c r="M60" i="1"/>
  <c r="M63" i="1" s="1"/>
  <c r="M65" i="1" s="1"/>
  <c r="P60" i="1"/>
  <c r="F30" i="1"/>
  <c r="F71" i="1" s="1"/>
  <c r="N60" i="1"/>
  <c r="N63" i="1" s="1"/>
  <c r="N65" i="1" s="1"/>
  <c r="O60" i="1"/>
  <c r="O63" i="1" s="1"/>
  <c r="O65" i="1" s="1"/>
  <c r="F44" i="1"/>
  <c r="D153" i="1"/>
  <c r="E153" i="1"/>
  <c r="E81" i="1"/>
  <c r="D81" i="1"/>
  <c r="C81" i="1"/>
  <c r="E80" i="1"/>
  <c r="E138" i="1" s="1"/>
  <c r="D80" i="1"/>
  <c r="E77" i="1"/>
  <c r="D77" i="1"/>
  <c r="C77" i="1"/>
  <c r="E76" i="1"/>
  <c r="D76" i="1"/>
  <c r="C76" i="1"/>
  <c r="C80" i="1"/>
  <c r="C138" i="1" s="1"/>
  <c r="F63" i="1"/>
  <c r="C75" i="1"/>
  <c r="O32" i="1"/>
  <c r="O34" i="1" s="1"/>
  <c r="N32" i="1"/>
  <c r="N34" i="1" s="1"/>
  <c r="M32" i="1"/>
  <c r="M34" i="1" s="1"/>
  <c r="K32" i="1"/>
  <c r="E8" i="1"/>
  <c r="E115" i="1" s="1"/>
  <c r="E114" i="1" s="1"/>
  <c r="D8" i="1"/>
  <c r="D162" i="1" s="1"/>
  <c r="D163" i="1" s="1"/>
  <c r="C8" i="1"/>
  <c r="C162" i="1" s="1"/>
  <c r="C163" i="1" s="1"/>
  <c r="P63" i="1" l="1"/>
  <c r="P65" i="1"/>
  <c r="L63" i="1"/>
  <c r="L65" i="1" s="1"/>
  <c r="S63" i="1"/>
  <c r="S65" i="1" s="1"/>
  <c r="F79" i="1"/>
  <c r="F88" i="1"/>
  <c r="F168" i="1" s="1"/>
  <c r="F169" i="1" s="1"/>
  <c r="U60" i="1"/>
  <c r="K63" i="1"/>
  <c r="Q65" i="1"/>
  <c r="Q66" i="1" s="1"/>
  <c r="F27" i="1" s="1"/>
  <c r="F72" i="1" s="1"/>
  <c r="R34" i="1"/>
  <c r="U35" i="1" s="1"/>
  <c r="C29" i="1" s="1"/>
  <c r="C74" i="1" s="1"/>
  <c r="Q34" i="1"/>
  <c r="Q35" i="1" s="1"/>
  <c r="C27" i="1" s="1"/>
  <c r="C72" i="1" s="1"/>
  <c r="L39" i="1"/>
  <c r="O39" i="1"/>
  <c r="M39" i="1"/>
  <c r="N39" i="1"/>
  <c r="P39" i="1"/>
  <c r="Q39" i="1"/>
  <c r="K39" i="1"/>
  <c r="D75" i="1"/>
  <c r="L49" i="1"/>
  <c r="L52" i="1" s="1"/>
  <c r="L54" i="1" s="1"/>
  <c r="D63" i="1"/>
  <c r="E63" i="1"/>
  <c r="E75" i="1"/>
  <c r="C30" i="1"/>
  <c r="C71" i="1" s="1"/>
  <c r="E162" i="1"/>
  <c r="E163" i="1" s="1"/>
  <c r="L32" i="1"/>
  <c r="L34" i="1" s="1"/>
  <c r="K49" i="1"/>
  <c r="D25" i="1"/>
  <c r="P32" i="1"/>
  <c r="P34" i="1" s="1"/>
  <c r="M49" i="1"/>
  <c r="C79" i="1"/>
  <c r="C114" i="1"/>
  <c r="C63" i="1"/>
  <c r="Q42" i="1"/>
  <c r="N49" i="1"/>
  <c r="K34" i="1"/>
  <c r="O49" i="1"/>
  <c r="D115" i="1"/>
  <c r="D114" i="1" s="1"/>
  <c r="Q52" i="1"/>
  <c r="S29" i="1"/>
  <c r="C44" i="1"/>
  <c r="P49" i="1"/>
  <c r="R54" i="1"/>
  <c r="U55" i="1" s="1"/>
  <c r="E29" i="1" s="1"/>
  <c r="E74" i="1" s="1"/>
  <c r="S39" i="1" l="1"/>
  <c r="D165" i="1"/>
  <c r="D166" i="1" s="1"/>
  <c r="F120" i="1"/>
  <c r="F119" i="1" s="1"/>
  <c r="U63" i="1"/>
  <c r="K65" i="1"/>
  <c r="R44" i="1"/>
  <c r="U45" i="1" s="1"/>
  <c r="D29" i="1" s="1"/>
  <c r="D74" i="1" s="1"/>
  <c r="U29" i="1"/>
  <c r="Q49" i="1"/>
  <c r="Q54" i="1" s="1"/>
  <c r="Q55" i="1" s="1"/>
  <c r="E27" i="1" s="1"/>
  <c r="E72" i="1" s="1"/>
  <c r="D44" i="1"/>
  <c r="D79" i="1"/>
  <c r="D164" i="1"/>
  <c r="U32" i="1"/>
  <c r="Q44" i="1"/>
  <c r="Q45" i="1" s="1"/>
  <c r="D27" i="1" s="1"/>
  <c r="D72" i="1" s="1"/>
  <c r="C119" i="1"/>
  <c r="C168" i="1"/>
  <c r="C169" i="1" s="1"/>
  <c r="P42" i="1"/>
  <c r="P44" i="1" s="1"/>
  <c r="M52" i="1"/>
  <c r="M54" i="1" s="1"/>
  <c r="O52" i="1"/>
  <c r="O54" i="1" s="1"/>
  <c r="S32" i="1"/>
  <c r="S34" i="1" s="1"/>
  <c r="N35" i="1" s="1"/>
  <c r="C28" i="1" s="1"/>
  <c r="L42" i="1"/>
  <c r="L44" i="1" s="1"/>
  <c r="P52" i="1"/>
  <c r="P54" i="1" s="1"/>
  <c r="N42" i="1"/>
  <c r="N44" i="1" s="1"/>
  <c r="E79" i="1"/>
  <c r="E44" i="1"/>
  <c r="K42" i="1"/>
  <c r="K44" i="1" s="1"/>
  <c r="K35" i="1"/>
  <c r="M42" i="1"/>
  <c r="M44" i="1" s="1"/>
  <c r="D30" i="1"/>
  <c r="D71" i="1" s="1"/>
  <c r="O42" i="1"/>
  <c r="O44" i="1" s="1"/>
  <c r="N52" i="1"/>
  <c r="N54" i="1" s="1"/>
  <c r="E30" i="1"/>
  <c r="E71" i="1" s="1"/>
  <c r="S49" i="1"/>
  <c r="K52" i="1"/>
  <c r="K54" i="1" s="1"/>
  <c r="E166" i="1" l="1"/>
  <c r="E164" i="1" s="1"/>
  <c r="F166" i="1"/>
  <c r="F164" i="1" s="1"/>
  <c r="K66" i="1"/>
  <c r="N66" i="1"/>
  <c r="F28" i="1" s="1"/>
  <c r="C73" i="1"/>
  <c r="C31" i="1"/>
  <c r="K55" i="1"/>
  <c r="D88" i="1"/>
  <c r="S52" i="1"/>
  <c r="S54" i="1" s="1"/>
  <c r="N55" i="1" s="1"/>
  <c r="E28" i="1" s="1"/>
  <c r="S42" i="1"/>
  <c r="S44" i="1" s="1"/>
  <c r="N45" i="1" s="1"/>
  <c r="D28" i="1" s="1"/>
  <c r="K45" i="1"/>
  <c r="E88" i="1"/>
  <c r="C65" i="1" l="1"/>
  <c r="C17" i="1"/>
  <c r="F31" i="1"/>
  <c r="F73" i="1"/>
  <c r="D73" i="1"/>
  <c r="D31" i="1"/>
  <c r="E73" i="1"/>
  <c r="E31" i="1"/>
  <c r="E120" i="1"/>
  <c r="E119" i="1" s="1"/>
  <c r="E168" i="1"/>
  <c r="E169" i="1" s="1"/>
  <c r="D168" i="1"/>
  <c r="D169" i="1" s="1"/>
  <c r="D120" i="1"/>
  <c r="D119" i="1" s="1"/>
  <c r="C82" i="1"/>
  <c r="E65" i="1" l="1"/>
  <c r="E17" i="1"/>
  <c r="F65" i="1"/>
  <c r="F17" i="1"/>
  <c r="D65" i="1"/>
  <c r="D17" i="1"/>
  <c r="F82" i="1"/>
  <c r="F89" i="1"/>
  <c r="F170" i="1" s="1"/>
  <c r="F171" i="1" s="1"/>
  <c r="E89" i="1"/>
  <c r="E82" i="1"/>
  <c r="C170" i="1"/>
  <c r="C171" i="1" s="1"/>
  <c r="C90" i="1"/>
  <c r="C167" i="1" s="1"/>
  <c r="D82" i="1"/>
  <c r="D89" i="1"/>
  <c r="C134" i="1" l="1"/>
  <c r="C140" i="1" s="1"/>
  <c r="C106" i="1" s="1"/>
  <c r="C129" i="1"/>
  <c r="F90" i="1"/>
  <c r="F167" i="1" s="1"/>
  <c r="C104" i="1"/>
  <c r="E170" i="1"/>
  <c r="E171" i="1" s="1"/>
  <c r="E90" i="1"/>
  <c r="E167" i="1" s="1"/>
  <c r="D170" i="1"/>
  <c r="D171" i="1" s="1"/>
  <c r="D90" i="1"/>
  <c r="D167" i="1" s="1"/>
  <c r="F134" i="1" l="1"/>
  <c r="F140" i="1" s="1"/>
  <c r="F129" i="1"/>
  <c r="E134" i="1"/>
  <c r="E140" i="1" s="1"/>
  <c r="E107" i="1" s="1"/>
  <c r="E104" i="1" s="1"/>
  <c r="E126" i="1" s="1"/>
  <c r="E129" i="1"/>
  <c r="D134" i="1"/>
  <c r="D140" i="1" s="1"/>
  <c r="D107" i="1" s="1"/>
  <c r="D104" i="1" s="1"/>
  <c r="D126" i="1" s="1"/>
  <c r="D129" i="1"/>
  <c r="E106" i="1" l="1"/>
  <c r="D106" i="1"/>
</calcChain>
</file>

<file path=xl/comments1.xml><?xml version="1.0" encoding="utf-8"?>
<comments xmlns="http://schemas.openxmlformats.org/spreadsheetml/2006/main">
  <authors>
    <author>Kozák Daniel</author>
  </authors>
  <commentList>
    <comment ref="C6" authorId="0" shapeId="0">
      <text>
        <r>
          <rPr>
            <b/>
            <sz val="9"/>
            <color indexed="81"/>
            <rFont val="Segoe UI"/>
            <family val="2"/>
            <charset val="238"/>
          </rPr>
          <t>Kozák Daniel:</t>
        </r>
        <r>
          <rPr>
            <sz val="9"/>
            <color indexed="81"/>
            <rFont val="Segoe UI"/>
            <family val="2"/>
            <charset val="238"/>
          </rPr>
          <t xml:space="preserve">
Začiatok od 06/2022 je zohľadnený v počte mesiacov v bunke K22</t>
        </r>
      </text>
    </comment>
    <comment ref="J8" authorId="0" shapeId="0">
      <text>
        <r>
          <rPr>
            <b/>
            <sz val="9"/>
            <color indexed="81"/>
            <rFont val="Segoe UI"/>
            <family val="2"/>
            <charset val="238"/>
          </rPr>
          <t>Kozák Daniel:</t>
        </r>
        <r>
          <rPr>
            <sz val="9"/>
            <color indexed="81"/>
            <rFont val="Segoe UI"/>
            <family val="2"/>
            <charset val="238"/>
          </rPr>
          <t xml:space="preserve">
Nie je k dispozícii v prognóze, projektovaná podľa predošlého roka.</t>
        </r>
      </text>
    </comment>
    <comment ref="S26" authorId="0" shapeId="0">
      <text>
        <r>
          <rPr>
            <b/>
            <sz val="9"/>
            <color indexed="81"/>
            <rFont val="Segoe UI"/>
            <family val="2"/>
            <charset val="238"/>
          </rPr>
          <t>Kozák Daniel:</t>
        </r>
        <r>
          <rPr>
            <sz val="9"/>
            <color indexed="81"/>
            <rFont val="Segoe UI"/>
            <family val="2"/>
            <charset val="238"/>
          </rPr>
          <t xml:space="preserve">
Pri MZ sa myslím nepoužíva - preto výška stanovená ako 0%, nie 0,25%</t>
        </r>
      </text>
    </comment>
    <comment ref="S57" authorId="0" shapeId="0">
      <text>
        <r>
          <rPr>
            <b/>
            <sz val="9"/>
            <color indexed="81"/>
            <rFont val="Segoe UI"/>
            <family val="2"/>
            <charset val="238"/>
          </rPr>
          <t>Kozák Daniel:</t>
        </r>
        <r>
          <rPr>
            <sz val="9"/>
            <color indexed="81"/>
            <rFont val="Segoe UI"/>
            <family val="2"/>
            <charset val="238"/>
          </rPr>
          <t xml:space="preserve">
Pri MZ sa myslím nepoužíva - preto výška stanovená ako 0%, nie 0,25%</t>
        </r>
      </text>
    </comment>
  </commentList>
</comments>
</file>

<file path=xl/sharedStrings.xml><?xml version="1.0" encoding="utf-8"?>
<sst xmlns="http://schemas.openxmlformats.org/spreadsheetml/2006/main" count="355" uniqueCount="179">
  <si>
    <t xml:space="preserve">SEM ZADAJ HODNOTY </t>
  </si>
  <si>
    <t>Počty zamestnancov</t>
  </si>
  <si>
    <t>Referent</t>
  </si>
  <si>
    <t>Spolu</t>
  </si>
  <si>
    <t>Výšky základného platu (v 2022)</t>
  </si>
  <si>
    <t>Maximálna výška priemerných odmien</t>
  </si>
  <si>
    <t>Klasifikácia podľa metodiky MF SR 2018-2020</t>
  </si>
  <si>
    <t>Položka v rozpočte</t>
  </si>
  <si>
    <t>Plánované výdavky 2023 v eur (DK)</t>
  </si>
  <si>
    <t>Plánované výdavky 2024 v eur (DK)</t>
  </si>
  <si>
    <t>Kalkulačka odvodov</t>
  </si>
  <si>
    <t>Personál</t>
  </si>
  <si>
    <t>Pomocné - počet mesiacov v roku</t>
  </si>
  <si>
    <t xml:space="preserve">610 - Mzdy, platy, služobné príjmy a ostatné osobné vyrovnania </t>
  </si>
  <si>
    <t>Riaditeľ - hrubý plat</t>
  </si>
  <si>
    <t>Referenti</t>
  </si>
  <si>
    <t>Výpočet odvodov zamestnávateľa (aj s DDS)</t>
  </si>
  <si>
    <r>
      <t xml:space="preserve">Rok 2022, </t>
    </r>
    <r>
      <rPr>
        <sz val="11"/>
        <color theme="1"/>
        <rFont val="Arial Narrow"/>
        <family val="2"/>
        <charset val="238"/>
      </rPr>
      <t>vedľa čísla fondov</t>
    </r>
  </si>
  <si>
    <t>621 a 623</t>
  </si>
  <si>
    <t>Administ. Personál</t>
  </si>
  <si>
    <t>(podľa kalkulačky pre rok 2021)</t>
  </si>
  <si>
    <t>Nemocenské poistenie (1,4%)</t>
  </si>
  <si>
    <t>Dôchodkové poistenie - starobné (14%)</t>
  </si>
  <si>
    <t>Dôchodkové poistenie - invalidné (3%)</t>
  </si>
  <si>
    <t>Poistenie v nezamestnanosti (1%)</t>
  </si>
  <si>
    <t>Úrazové poistenie (0,8%)</t>
  </si>
  <si>
    <t>Rezervný fond solidarity (4,75%)</t>
  </si>
  <si>
    <t>Zdravotné poistenie (základ obsahuje aj DDS)</t>
  </si>
  <si>
    <t>Príspevok do DDS</t>
  </si>
  <si>
    <t>Garančný Fond</t>
  </si>
  <si>
    <t>Spolu odvody zamestnávateľa</t>
  </si>
  <si>
    <t>621, 623 - Poistné do VšZP a ostatných ZP</t>
  </si>
  <si>
    <t>Zdravotné odvody</t>
  </si>
  <si>
    <t>Zdravotné odvody spolu (ročné)</t>
  </si>
  <si>
    <t>v EUR</t>
  </si>
  <si>
    <t>625 - Poistné do Sociálnej poisťovňe</t>
  </si>
  <si>
    <t>Sociálne odvody</t>
  </si>
  <si>
    <t>Sociálne odvody spolu (ročné)</t>
  </si>
  <si>
    <t>Riaditeľ</t>
  </si>
  <si>
    <t>627 - Príspevok do doplnkových dôchodkových poisťovní</t>
  </si>
  <si>
    <t>Príspevky do DDS (€60 na zamestnanca na mesiac v 2022)</t>
  </si>
  <si>
    <t>614 - Odmeny / 610 - Mzdy, platy, služobné príjmy a ostatné osobné vyrovnania</t>
  </si>
  <si>
    <t>Priemerné ročné odmeny</t>
  </si>
  <si>
    <t>Administratívny personál</t>
  </si>
  <si>
    <t>Spolu personál</t>
  </si>
  <si>
    <t>Riaditeľ (odmeny)</t>
  </si>
  <si>
    <t>Výdavky na služby a pod</t>
  </si>
  <si>
    <t>637 - Služby (637001 Školenia, kurzy, semináre, porady, konferencie, sympóziá)</t>
  </si>
  <si>
    <t>Účasť na kurzoch, školeniach, konferenciách (aj v zahraničí)</t>
  </si>
  <si>
    <t>Poplatok, cestovné náklady okrem diét, hotely, letenky, preprava v krajine - 2000 eur na nového zamestnanca</t>
  </si>
  <si>
    <t>Administratívny personál (odmeny)</t>
  </si>
  <si>
    <t>631 - Cestovné náhrady (631001 + 631002)</t>
  </si>
  <si>
    <t>Diéty (SK + zahraničie)</t>
  </si>
  <si>
    <t>Diéty podľa Opatrenia č. 176/2019, ktoré ustanovuje sumy stravného podľa § 5 ods. 2 zákona č. 283/2002 Z.z. o cestovných náhradách - 500 eur na zamestnanca (10 dní v zahraničí)</t>
  </si>
  <si>
    <t>Spolu 2022</t>
  </si>
  <si>
    <t>637 - Služby</t>
  </si>
  <si>
    <t>Publikovanie</t>
  </si>
  <si>
    <t>x</t>
  </si>
  <si>
    <t>Spolu celkovo 2022</t>
  </si>
  <si>
    <t>sociálne spolu</t>
  </si>
  <si>
    <t>zdravotné spolu</t>
  </si>
  <si>
    <t>príspevok do DDS spolu</t>
  </si>
  <si>
    <t xml:space="preserve">Organizácia podujatí </t>
  </si>
  <si>
    <t>633 - Materiál (633006 Všeobecný materiál)</t>
  </si>
  <si>
    <t>Literatúra</t>
  </si>
  <si>
    <t>Rok 2023</t>
  </si>
  <si>
    <t xml:space="preserve">637 - Služby - inzeráty (personál) </t>
  </si>
  <si>
    <t>Inzeráty (personál)</t>
  </si>
  <si>
    <t>633 - Materiál (633011 Potraviny)</t>
  </si>
  <si>
    <t>Výdavky za potraviny</t>
  </si>
  <si>
    <t xml:space="preserve">637 - Služby (637009 Náhrada mzdy a platu) </t>
  </si>
  <si>
    <t>Honoráre (externé konzultácie s odborníkmi)</t>
  </si>
  <si>
    <t>Benefity (stravné, Multisport)</t>
  </si>
  <si>
    <t>1500 na osobu - Stravné (3,56x250 eura na zamestnanca) MultiSport (mesačne dotácia 17 eur na zamestnanca); Jednorázový príspevok 100 eur podľa kolektívnej zmluvy. 300 eur na iné (príspevok PN, jubilea a podobne)</t>
  </si>
  <si>
    <t xml:space="preserve">Členské poplatky </t>
  </si>
  <si>
    <t>Spolu výdavky na služby a pod.</t>
  </si>
  <si>
    <t>Materiálne výdavky</t>
  </si>
  <si>
    <t xml:space="preserve">636 - Nájomné za nájom (636001 Budov, objektov alebo ich častí) </t>
  </si>
  <si>
    <t>Prenájom kanc. priestorov</t>
  </si>
  <si>
    <t>637 - Služby (637004 Všeobecné služby)</t>
  </si>
  <si>
    <t>Upratovanie</t>
  </si>
  <si>
    <t>Rok 2024</t>
  </si>
  <si>
    <t>633 - Materiál (Licencie 633018)</t>
  </si>
  <si>
    <t>Obnova licencii</t>
  </si>
  <si>
    <t>Údržba a servis informačných systémov</t>
  </si>
  <si>
    <t xml:space="preserve">632 - Energie, voda a komunikácie (632005) </t>
  </si>
  <si>
    <t>Telekomunikačné poplatky</t>
  </si>
  <si>
    <t>632 - Energie, voda a komunikácie</t>
  </si>
  <si>
    <t>Poštovné</t>
  </si>
  <si>
    <t>Energie</t>
  </si>
  <si>
    <t>633 - Materiál</t>
  </si>
  <si>
    <t>Kancelársky materiál</t>
  </si>
  <si>
    <t>637 - Služby (637005 Špeciálne služby)</t>
  </si>
  <si>
    <t xml:space="preserve">Poistenie (vlámanie, majetku...) </t>
  </si>
  <si>
    <t>Daňové poradenstvo</t>
  </si>
  <si>
    <t>Právne poradenstvo</t>
  </si>
  <si>
    <t>Iné poradenstvo</t>
  </si>
  <si>
    <t xml:space="preserve">713 - Nákup strojov, prístrojov, zariadení, techniky a náradia </t>
  </si>
  <si>
    <t>*Kapitálové výdavky - Kancelársky nábytok</t>
  </si>
  <si>
    <t>Kapitálové výdavky - Všeobecná výbava - gauče, veci do kuchyne, chladnička, toalety</t>
  </si>
  <si>
    <t xml:space="preserve">711 - Nákup pozemkov a nehmotných aktív </t>
  </si>
  <si>
    <t>Kapitálové výdavky - Softvérové licencie</t>
  </si>
  <si>
    <t>100 000 jednorázový výdavok na software</t>
  </si>
  <si>
    <t>Kapitálové výdavky - IT infraštruktúra (laptopy, projektory, tonery, tlačiareň...), sieťovanie</t>
  </si>
  <si>
    <t>2000 eur na nového zamestanca (notebook, monitor, dokovacia stanica, príslušenstvo)</t>
  </si>
  <si>
    <t>Iné / rezerva</t>
  </si>
  <si>
    <t>Spolu materiálne výdavky</t>
  </si>
  <si>
    <t>Kontrolný súčet, či sedí celková rozpočtovaná suma</t>
  </si>
  <si>
    <t>Pomocné výpočty do analýzy vplyvov</t>
  </si>
  <si>
    <t>2022 DK</t>
  </si>
  <si>
    <t>2023 DK</t>
  </si>
  <si>
    <t>2024 DK</t>
  </si>
  <si>
    <t>621, 623</t>
  </si>
  <si>
    <t>mzdové výdavky bez odvodov</t>
  </si>
  <si>
    <t>odvody</t>
  </si>
  <si>
    <t>spolu</t>
  </si>
  <si>
    <t>Vplyv na rozpočet verejnej správy (v eurách)</t>
  </si>
  <si>
    <t>Príjmy verejnej správy celkom</t>
  </si>
  <si>
    <t xml:space="preserve">z toho:  </t>
  </si>
  <si>
    <t>- vplyv na ŠR</t>
  </si>
  <si>
    <t>Rozpočtové prostriedky</t>
  </si>
  <si>
    <t>EÚ zdroje</t>
  </si>
  <si>
    <t>- vplyv na obce</t>
  </si>
  <si>
    <t>- vplyv na vyššie územné celky</t>
  </si>
  <si>
    <t>- vplyv na ostatné subjekty verejnej správy</t>
  </si>
  <si>
    <t>Výdavky verejnej správy celkom</t>
  </si>
  <si>
    <t xml:space="preserve">z toho: </t>
  </si>
  <si>
    <t>Rozpočtové prostriedky (kapitola MZ SR)</t>
  </si>
  <si>
    <t>spolufinancovanie</t>
  </si>
  <si>
    <t xml:space="preserve">Vplyv na počet zamestnancov </t>
  </si>
  <si>
    <t>- vplyv na ŠR (MZ SR)</t>
  </si>
  <si>
    <t>Vplyv na mzdové výdavky</t>
  </si>
  <si>
    <t>- vplyv na ŠR (kapitola MZ SR)</t>
  </si>
  <si>
    <t>Financovanie zabezpečené v rozpočte</t>
  </si>
  <si>
    <t>Iné ako rozpočtové zdroje</t>
  </si>
  <si>
    <t>Rozpočtovo nekrytý vplyv / úspora</t>
  </si>
  <si>
    <t>Výdavky (v eurách)</t>
  </si>
  <si>
    <t>Poznámka</t>
  </si>
  <si>
    <t>Bežné výdavky (600)</t>
  </si>
  <si>
    <t>Vrátane možných odmien</t>
  </si>
  <si>
    <t>Vrátane prevádzky softwaru, výdavkov na stravné,  iných benefitov MZ SR, vzdelávania, účasti na konferenciách</t>
  </si>
  <si>
    <t>Kapitálové výdavky (700)</t>
  </si>
  <si>
    <r>
      <t>Obstarávanie kapitálových aktív (710)</t>
    </r>
    <r>
      <rPr>
        <vertAlign val="superscript"/>
        <sz val="12"/>
        <color rgb="FF000000"/>
        <rFont val="Arial Narrow"/>
        <family val="2"/>
        <charset val="238"/>
      </rPr>
      <t/>
    </r>
  </si>
  <si>
    <t>Dopad na výdavky verejnej správy celkom</t>
  </si>
  <si>
    <t>Počet zamestnancov celkom</t>
  </si>
  <si>
    <t>Priemerný mzdový výdavok (v eurách) na zamestnanca</t>
  </si>
  <si>
    <t>Osobné výdavky celkom (v eurách)</t>
  </si>
  <si>
    <t>Mzdy, platy, služobné príjmy a ostatné osobné vyrovnania (610)</t>
  </si>
  <si>
    <t>Poistné a príspevok do poisťovní (620)</t>
  </si>
  <si>
    <t>Tabuľka č. 1 - Vplyvy na rozpočet verejnej správy</t>
  </si>
  <si>
    <t>Tabuľka 5 - Zamestnanosť (vplyv na kapitolu MZ SR)</t>
  </si>
  <si>
    <t xml:space="preserve">Zahŕňa 100-tisíc eur na obstaranie softwaru a 36-tisíc eur na nákup techniky pre nových zamestnancov </t>
  </si>
  <si>
    <t>z toho vplyv na rozpočet zamestnanec -  mzdy</t>
  </si>
  <si>
    <t>z toho vplyv na rozpočet zamestnanec -  odmeny</t>
  </si>
  <si>
    <t>z toho vplyv na rozpočet</t>
  </si>
  <si>
    <t>Zamestnanosť</t>
  </si>
  <si>
    <t>Tabuľka 4B - Vplyv na výdavky verejného zdravotného poistenia</t>
  </si>
  <si>
    <t>Verejné zdravotné poistenie</t>
  </si>
  <si>
    <t>Tabuľka 4A - Vplyv na výdavky kapitoly MZ SR</t>
  </si>
  <si>
    <t xml:space="preserve">*Predpokladaná účinnosť zmien je od 1.2.2022. V prípade, že držitelia registrácie požiadajú o zaradenie nových liekov v priebehu februára 2022, hradené budú od 1.9.2022. Prvých 12 mesiacov po zaradení predpokladáme polovičnú spotrebu lieku oproti bežnému roku (postupné nastavovanie pacientov na novú liečbu). Od 13. mesiaca predpokladáme plnú spotrebu liekov. </t>
  </si>
  <si>
    <t>Plánované výdavky 2025 v eur (DK)</t>
  </si>
  <si>
    <t>Plánované výdavky od 06/2022 v eur (DK)</t>
  </si>
  <si>
    <t>Rok 2025</t>
  </si>
  <si>
    <t>Vývoj inflácie, podľa IFP 09/2021 prognózy, - pre navyšovanie nemzdových výdavkov</t>
  </si>
  <si>
    <t>Vývoj primernej mzdy (navyšovanie platov), podľa IFP 06/2021 prognózy, plat 2023, 2024 a 2025 podľa zmeny za predošlý rok</t>
  </si>
  <si>
    <t>Počet mesiacov v 2022</t>
  </si>
  <si>
    <t>Spolu celkovo 2024</t>
  </si>
  <si>
    <t>Spolu celkovo 2023</t>
  </si>
  <si>
    <t>Spolu 2024</t>
  </si>
  <si>
    <t>Spolu 2025</t>
  </si>
  <si>
    <t>Spolu 2023</t>
  </si>
  <si>
    <t>2025 DK</t>
  </si>
  <si>
    <t>Príspevky do DDS (príspevok 3. pilier ) - ODSTRÁNENÉ NA ŽIADOSŤ MFSR</t>
  </si>
  <si>
    <t>Kontrola výšky odvodov</t>
  </si>
  <si>
    <t>Tovary a služby (630)
(vplyvy na zamestnanosť)</t>
  </si>
  <si>
    <t>Tovary a služby (630) inovatívne lieky</t>
  </si>
  <si>
    <t>Tovary a služby (630) podpora vstupu generických a biologicky podobných liekov a realizácia úsporných opatrení</t>
  </si>
  <si>
    <t>Tovary a služby (630) kategorizované lieky</t>
  </si>
  <si>
    <t>Nárast výdavkov kagetorizovaných liekov z 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</si>
</sst>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0.0%"/>
    <numFmt numFmtId="166" formatCode="#,##0\ &quot;€&quot;"/>
    <numFmt numFmtId="167" formatCode="0.0"/>
    <numFmt numFmtId="168" formatCode="_-* #,##0.0000\ &quot;€&quot;_-;\-* #,##0.0000\ &quot;€&quot;_-;_-* &quot;-&quot;??\ &quot;€&quot;_-;_-@_-"/>
    <numFmt numFmtId="169" formatCode="0.0000"/>
  </numFmts>
  <fonts count="19" x14ac:knownFonts="1">
    <font>
      <sz val="11"/>
      <color theme="1"/>
      <name val="Calibri"/>
      <family val="2"/>
      <charset val="238"/>
      <scheme val="minor"/>
    </font>
    <font>
      <sz val="12"/>
      <color theme="1"/>
      <name val="Arial Narrow"/>
      <family val="2"/>
      <charset val="238"/>
    </font>
    <font>
      <b/>
      <sz val="12"/>
      <color theme="1"/>
      <name val="Arial Narrow"/>
      <family val="2"/>
      <charset val="238"/>
    </font>
    <font>
      <b/>
      <sz val="11"/>
      <color theme="1"/>
      <name val="Arial Narrow"/>
      <family val="2"/>
      <charset val="238"/>
    </font>
    <font>
      <sz val="11"/>
      <color theme="1"/>
      <name val="Arial Narrow"/>
      <family val="2"/>
      <charset val="238"/>
    </font>
    <font>
      <sz val="11"/>
      <color theme="1"/>
      <name val="Calibri"/>
      <family val="2"/>
      <scheme val="minor"/>
    </font>
    <font>
      <b/>
      <i/>
      <sz val="12"/>
      <color theme="1"/>
      <name val="Arial Narrow"/>
      <family val="2"/>
      <charset val="238"/>
    </font>
    <font>
      <i/>
      <sz val="12"/>
      <color theme="1"/>
      <name val="Arial Narrow"/>
      <family val="2"/>
      <charset val="238"/>
    </font>
    <font>
      <b/>
      <sz val="10"/>
      <color theme="1"/>
      <name val="Arial Narrow"/>
      <family val="2"/>
      <charset val="238"/>
    </font>
    <font>
      <b/>
      <i/>
      <sz val="10"/>
      <color theme="1"/>
      <name val="Arial Narrow"/>
      <family val="2"/>
      <charset val="238"/>
    </font>
    <font>
      <i/>
      <sz val="10"/>
      <color theme="1"/>
      <name val="Arial Narrow"/>
      <family val="2"/>
      <charset val="238"/>
    </font>
    <font>
      <sz val="10"/>
      <color theme="1"/>
      <name val="Arial Narrow"/>
      <family val="2"/>
      <charset val="238"/>
    </font>
    <font>
      <b/>
      <sz val="10"/>
      <color rgb="FF000000"/>
      <name val="Arial Narrow"/>
      <family val="2"/>
      <charset val="238"/>
    </font>
    <font>
      <b/>
      <sz val="12"/>
      <color rgb="FF000000"/>
      <name val="Arial Narrow"/>
      <family val="2"/>
      <charset val="238"/>
    </font>
    <font>
      <sz val="12"/>
      <color rgb="FF000000"/>
      <name val="Arial Narrow"/>
      <family val="2"/>
      <charset val="238"/>
    </font>
    <font>
      <sz val="10"/>
      <color rgb="FF000000"/>
      <name val="Arial Narrow"/>
      <family val="2"/>
      <charset val="238"/>
    </font>
    <font>
      <vertAlign val="superscript"/>
      <sz val="12"/>
      <color rgb="FF000000"/>
      <name val="Arial Narrow"/>
      <family val="2"/>
      <charset val="238"/>
    </font>
    <font>
      <b/>
      <sz val="9"/>
      <color indexed="81"/>
      <name val="Segoe UI"/>
      <family val="2"/>
      <charset val="238"/>
    </font>
    <font>
      <sz val="9"/>
      <color indexed="81"/>
      <name val="Segoe UI"/>
      <family val="2"/>
      <charset val="238"/>
    </font>
  </fonts>
  <fills count="13">
    <fill>
      <patternFill patternType="none"/>
    </fill>
    <fill>
      <patternFill patternType="gray125"/>
    </fill>
    <fill>
      <patternFill patternType="solid">
        <fgColor theme="9"/>
        <bgColor indexed="64"/>
      </patternFill>
    </fill>
    <fill>
      <patternFill patternType="solid">
        <fgColor rgb="FFFFFF0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4" tint="0.39997558519241921"/>
        <bgColor indexed="64"/>
      </patternFill>
    </fill>
    <fill>
      <patternFill patternType="solid">
        <fgColor theme="6" tint="0.59999389629810485"/>
        <bgColor indexed="64"/>
      </patternFill>
    </fill>
    <fill>
      <patternFill patternType="solid">
        <fgColor rgb="FFBFBFBF"/>
        <bgColor indexed="64"/>
      </patternFill>
    </fill>
    <fill>
      <patternFill patternType="solid">
        <fgColor rgb="FFC0C0C0"/>
        <bgColor indexed="64"/>
      </patternFill>
    </fill>
    <fill>
      <patternFill patternType="solid">
        <fgColor rgb="FFA6A6A6"/>
        <bgColor indexed="64"/>
      </patternFill>
    </fill>
    <fill>
      <patternFill patternType="solid">
        <fgColor rgb="FF00B0F0"/>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s>
  <cellStyleXfs count="2">
    <xf numFmtId="0" fontId="0" fillId="0" borderId="0">
      <alignment vertical="center"/>
    </xf>
    <xf numFmtId="0" fontId="5" fillId="0" borderId="0"/>
  </cellStyleXfs>
  <cellXfs count="219">
    <xf numFmtId="0" fontId="0" fillId="0" borderId="0" xfId="0">
      <alignment vertical="center"/>
    </xf>
    <xf numFmtId="0" fontId="1" fillId="0" borderId="0" xfId="0" applyFont="1">
      <alignment vertical="center"/>
    </xf>
    <xf numFmtId="0" fontId="1" fillId="0" borderId="2" xfId="0" applyFont="1" applyBorder="1">
      <alignment vertical="center"/>
    </xf>
    <xf numFmtId="0" fontId="1" fillId="0" borderId="3" xfId="0" applyFont="1" applyBorder="1">
      <alignment vertical="center"/>
    </xf>
    <xf numFmtId="0" fontId="3" fillId="0" borderId="4" xfId="0" applyFont="1" applyBorder="1">
      <alignment vertical="center"/>
    </xf>
    <xf numFmtId="0" fontId="3" fillId="0" borderId="0" xfId="0" applyFont="1" applyBorder="1">
      <alignment vertical="center"/>
    </xf>
    <xf numFmtId="0" fontId="1" fillId="0" borderId="0" xfId="0" applyFont="1" applyBorder="1">
      <alignment vertical="center"/>
    </xf>
    <xf numFmtId="0" fontId="1" fillId="0" borderId="5" xfId="0" applyFont="1" applyBorder="1">
      <alignment vertical="center"/>
    </xf>
    <xf numFmtId="0" fontId="4" fillId="0" borderId="4" xfId="0" applyFont="1" applyBorder="1">
      <alignment vertical="center"/>
    </xf>
    <xf numFmtId="0" fontId="4" fillId="0" borderId="0" xfId="0" applyFont="1" applyFill="1" applyBorder="1">
      <alignment vertical="center"/>
    </xf>
    <xf numFmtId="0" fontId="4" fillId="3" borderId="0" xfId="0" applyFont="1" applyFill="1" applyBorder="1">
      <alignment vertical="center"/>
    </xf>
    <xf numFmtId="0" fontId="3" fillId="3" borderId="0" xfId="0" applyFont="1" applyFill="1" applyBorder="1">
      <alignment vertical="center"/>
    </xf>
    <xf numFmtId="0" fontId="4" fillId="0" borderId="0" xfId="0" applyFont="1" applyBorder="1">
      <alignment vertical="center"/>
    </xf>
    <xf numFmtId="164" fontId="4" fillId="0" borderId="0" xfId="0" applyNumberFormat="1" applyFont="1" applyFill="1" applyBorder="1">
      <alignment vertical="center"/>
    </xf>
    <xf numFmtId="9" fontId="4" fillId="3" borderId="0" xfId="0" applyNumberFormat="1" applyFont="1" applyFill="1" applyBorder="1">
      <alignment vertical="center"/>
    </xf>
    <xf numFmtId="164" fontId="4" fillId="3" borderId="0" xfId="0" applyNumberFormat="1" applyFont="1" applyFill="1" applyBorder="1">
      <alignment vertical="center"/>
    </xf>
    <xf numFmtId="0" fontId="3" fillId="0" borderId="0" xfId="0" applyFont="1" applyBorder="1" applyAlignment="1">
      <alignment horizontal="center" vertical="center"/>
    </xf>
    <xf numFmtId="0" fontId="2" fillId="0" borderId="5" xfId="0" applyFont="1" applyBorder="1" applyAlignment="1">
      <alignment horizontal="center" vertical="center"/>
    </xf>
    <xf numFmtId="0" fontId="1" fillId="0" borderId="4" xfId="0" applyFont="1" applyBorder="1">
      <alignment vertical="center"/>
    </xf>
    <xf numFmtId="10" fontId="1" fillId="3" borderId="0" xfId="0" applyNumberFormat="1" applyFont="1" applyFill="1" applyBorder="1">
      <alignment vertical="center"/>
    </xf>
    <xf numFmtId="0" fontId="2" fillId="0" borderId="0" xfId="0" applyFont="1" applyBorder="1">
      <alignment vertical="center"/>
    </xf>
    <xf numFmtId="0" fontId="1" fillId="0" borderId="6" xfId="0" applyFont="1" applyBorder="1">
      <alignment vertical="center"/>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0" borderId="0" xfId="0" applyFont="1" applyFill="1" applyAlignment="1">
      <alignment horizontal="center" vertical="center"/>
    </xf>
    <xf numFmtId="0" fontId="1" fillId="0" borderId="0" xfId="0" applyFont="1" applyFill="1">
      <alignment vertical="center"/>
    </xf>
    <xf numFmtId="0" fontId="1" fillId="5" borderId="4" xfId="0" applyFont="1" applyFill="1" applyBorder="1">
      <alignment vertical="center"/>
    </xf>
    <xf numFmtId="0" fontId="2" fillId="5" borderId="0" xfId="0" applyFont="1" applyFill="1" applyBorder="1" applyAlignment="1">
      <alignment horizontal="center" vertical="center"/>
    </xf>
    <xf numFmtId="0" fontId="2" fillId="5" borderId="5" xfId="0" applyFont="1" applyFill="1" applyBorder="1" applyAlignment="1">
      <alignment horizontal="center" vertical="center"/>
    </xf>
    <xf numFmtId="0" fontId="2" fillId="0" borderId="4" xfId="0" applyFont="1" applyBorder="1" applyAlignment="1">
      <alignment horizontal="left" vertical="center"/>
    </xf>
    <xf numFmtId="0" fontId="1" fillId="0" borderId="0" xfId="0" applyFont="1" applyBorder="1" applyAlignment="1">
      <alignment horizontal="left" vertical="center"/>
    </xf>
    <xf numFmtId="164" fontId="1" fillId="0" borderId="0" xfId="0" applyNumberFormat="1" applyFont="1" applyBorder="1" applyAlignment="1">
      <alignment horizontal="left" vertical="center"/>
    </xf>
    <xf numFmtId="164" fontId="1" fillId="0" borderId="5" xfId="0" applyNumberFormat="1" applyFont="1" applyBorder="1" applyAlignment="1">
      <alignment horizontal="left" vertical="center"/>
    </xf>
    <xf numFmtId="164" fontId="1" fillId="0" borderId="0" xfId="0" applyNumberFormat="1" applyFont="1" applyBorder="1">
      <alignment vertical="center"/>
    </xf>
    <xf numFmtId="164" fontId="1" fillId="0" borderId="5" xfId="0" applyNumberFormat="1" applyFont="1" applyBorder="1">
      <alignment vertical="center"/>
    </xf>
    <xf numFmtId="0" fontId="3" fillId="0" borderId="7" xfId="1" applyFont="1" applyBorder="1"/>
    <xf numFmtId="0" fontId="3" fillId="0" borderId="8" xfId="1" applyFont="1" applyBorder="1"/>
    <xf numFmtId="0" fontId="4" fillId="0" borderId="8" xfId="1" applyFont="1" applyBorder="1"/>
    <xf numFmtId="0" fontId="4" fillId="0" borderId="9" xfId="1" applyFont="1" applyBorder="1"/>
    <xf numFmtId="0" fontId="4" fillId="0" borderId="0" xfId="1" applyFont="1" applyBorder="1"/>
    <xf numFmtId="0" fontId="4" fillId="3" borderId="0" xfId="1" applyFont="1" applyFill="1" applyBorder="1"/>
    <xf numFmtId="0" fontId="3" fillId="0" borderId="0" xfId="1" applyFont="1" applyBorder="1"/>
    <xf numFmtId="0" fontId="3" fillId="0" borderId="5" xfId="1" applyFont="1" applyBorder="1"/>
    <xf numFmtId="0" fontId="4" fillId="0" borderId="7" xfId="1" applyFont="1" applyBorder="1" applyAlignment="1">
      <alignment vertical="center"/>
    </xf>
    <xf numFmtId="10" fontId="4" fillId="0" borderId="8" xfId="1" applyNumberFormat="1" applyFont="1" applyBorder="1"/>
    <xf numFmtId="164" fontId="4" fillId="0" borderId="8" xfId="1" applyNumberFormat="1" applyFont="1" applyBorder="1"/>
    <xf numFmtId="164" fontId="4" fillId="0" borderId="9" xfId="1" applyNumberFormat="1" applyFont="1" applyBorder="1"/>
    <xf numFmtId="0" fontId="4" fillId="6" borderId="0" xfId="0" applyFont="1" applyFill="1" applyBorder="1">
      <alignment vertical="center"/>
    </xf>
    <xf numFmtId="164" fontId="1" fillId="6" borderId="0" xfId="0" applyNumberFormat="1" applyFont="1" applyFill="1" applyBorder="1">
      <alignment vertical="center"/>
    </xf>
    <xf numFmtId="0" fontId="1" fillId="6" borderId="0" xfId="0" applyFont="1" applyFill="1" applyBorder="1">
      <alignment vertical="center"/>
    </xf>
    <xf numFmtId="164" fontId="1" fillId="6" borderId="5" xfId="0" applyNumberFormat="1" applyFont="1" applyFill="1" applyBorder="1">
      <alignment vertical="center"/>
    </xf>
    <xf numFmtId="0" fontId="2" fillId="0" borderId="4" xfId="0" applyFont="1" applyBorder="1">
      <alignment vertical="center"/>
    </xf>
    <xf numFmtId="0" fontId="4" fillId="6" borderId="8" xfId="0" applyFont="1" applyFill="1" applyBorder="1">
      <alignment vertical="center"/>
    </xf>
    <xf numFmtId="164" fontId="1" fillId="6" borderId="8" xfId="0" applyNumberFormat="1" applyFont="1" applyFill="1" applyBorder="1">
      <alignment vertical="center"/>
    </xf>
    <xf numFmtId="0" fontId="1" fillId="6" borderId="8" xfId="0" applyFont="1" applyFill="1" applyBorder="1">
      <alignment vertical="center"/>
    </xf>
    <xf numFmtId="164" fontId="1" fillId="6" borderId="9" xfId="0" applyNumberFormat="1" applyFont="1" applyFill="1" applyBorder="1">
      <alignment vertical="center"/>
    </xf>
    <xf numFmtId="0" fontId="6" fillId="0" borderId="0" xfId="0" applyFont="1" applyBorder="1" applyAlignment="1">
      <alignment horizontal="center" vertical="center"/>
    </xf>
    <xf numFmtId="164" fontId="2" fillId="0" borderId="0" xfId="0" applyNumberFormat="1" applyFont="1" applyBorder="1">
      <alignment vertical="center"/>
    </xf>
    <xf numFmtId="164" fontId="2" fillId="0" borderId="5" xfId="0" applyNumberFormat="1" applyFont="1" applyBorder="1">
      <alignment vertical="center"/>
    </xf>
    <xf numFmtId="0" fontId="2" fillId="5" borderId="4" xfId="0" applyFont="1" applyFill="1" applyBorder="1">
      <alignment vertical="center"/>
    </xf>
    <xf numFmtId="164" fontId="1" fillId="0" borderId="0" xfId="0" applyNumberFormat="1" applyFont="1" applyFill="1" applyBorder="1" applyAlignment="1">
      <alignment horizontal="left" vertical="center"/>
    </xf>
    <xf numFmtId="164" fontId="1" fillId="0" borderId="0" xfId="0" applyNumberFormat="1" applyFont="1" applyFill="1" applyBorder="1">
      <alignment vertical="center"/>
    </xf>
    <xf numFmtId="164" fontId="1" fillId="0" borderId="5" xfId="0" applyNumberFormat="1" applyFont="1" applyFill="1" applyBorder="1">
      <alignment vertical="center"/>
    </xf>
    <xf numFmtId="0" fontId="1" fillId="6" borderId="5" xfId="0" applyFont="1" applyFill="1" applyBorder="1">
      <alignment vertical="center"/>
    </xf>
    <xf numFmtId="0" fontId="2" fillId="7" borderId="0" xfId="0" applyFont="1" applyFill="1" applyBorder="1">
      <alignment vertical="center"/>
    </xf>
    <xf numFmtId="164" fontId="2" fillId="7" borderId="0" xfId="0" applyNumberFormat="1" applyFont="1" applyFill="1" applyBorder="1">
      <alignment vertical="center"/>
    </xf>
    <xf numFmtId="164" fontId="2" fillId="7" borderId="5" xfId="0" applyNumberFormat="1" applyFont="1" applyFill="1" applyBorder="1">
      <alignment vertical="center"/>
    </xf>
    <xf numFmtId="0" fontId="2" fillId="0" borderId="8" xfId="0" applyFont="1" applyBorder="1">
      <alignment vertical="center"/>
    </xf>
    <xf numFmtId="0" fontId="1" fillId="0" borderId="8" xfId="0" applyFont="1" applyBorder="1">
      <alignment vertical="center"/>
    </xf>
    <xf numFmtId="164" fontId="1" fillId="0" borderId="8" xfId="0" applyNumberFormat="1" applyFont="1" applyBorder="1">
      <alignment vertical="center"/>
    </xf>
    <xf numFmtId="0" fontId="1" fillId="0" borderId="9" xfId="0" applyFont="1" applyBorder="1">
      <alignment vertical="center"/>
    </xf>
    <xf numFmtId="0" fontId="1" fillId="8" borderId="0" xfId="0" applyFont="1" applyFill="1" applyBorder="1">
      <alignment vertical="center"/>
    </xf>
    <xf numFmtId="164" fontId="1" fillId="8" borderId="0" xfId="0" applyNumberFormat="1" applyFont="1" applyFill="1" applyBorder="1">
      <alignment vertical="center"/>
    </xf>
    <xf numFmtId="0" fontId="1" fillId="8" borderId="5" xfId="0" applyFont="1" applyFill="1" applyBorder="1">
      <alignment vertical="center"/>
    </xf>
    <xf numFmtId="0" fontId="4" fillId="8" borderId="0" xfId="0" applyFont="1" applyFill="1" applyBorder="1">
      <alignment vertical="center"/>
    </xf>
    <xf numFmtId="164" fontId="1" fillId="8" borderId="5" xfId="0" applyNumberFormat="1" applyFont="1" applyFill="1" applyBorder="1">
      <alignment vertical="center"/>
    </xf>
    <xf numFmtId="0" fontId="4" fillId="8" borderId="8" xfId="0" applyFont="1" applyFill="1" applyBorder="1">
      <alignment vertical="center"/>
    </xf>
    <xf numFmtId="164" fontId="1" fillId="8" borderId="8" xfId="0" applyNumberFormat="1" applyFont="1" applyFill="1" applyBorder="1">
      <alignment vertical="center"/>
    </xf>
    <xf numFmtId="164" fontId="1" fillId="8" borderId="9" xfId="0" applyNumberFormat="1" applyFont="1" applyFill="1" applyBorder="1">
      <alignment vertical="center"/>
    </xf>
    <xf numFmtId="0" fontId="1" fillId="8" borderId="8" xfId="0" applyFont="1" applyFill="1" applyBorder="1">
      <alignment vertical="center"/>
    </xf>
    <xf numFmtId="164" fontId="2" fillId="0" borderId="0" xfId="0" applyNumberFormat="1" applyFont="1" applyBorder="1" applyAlignment="1">
      <alignment horizontal="left" vertical="center"/>
    </xf>
    <xf numFmtId="164" fontId="2" fillId="0" borderId="5" xfId="0" applyNumberFormat="1" applyFont="1" applyBorder="1" applyAlignment="1">
      <alignment horizontal="left" vertical="center"/>
    </xf>
    <xf numFmtId="49" fontId="1" fillId="0" borderId="0" xfId="0" applyNumberFormat="1" applyFont="1" applyBorder="1" applyAlignment="1"/>
    <xf numFmtId="164" fontId="1" fillId="3" borderId="0" xfId="0" applyNumberFormat="1" applyFont="1" applyFill="1" applyBorder="1" applyAlignment="1">
      <alignment horizontal="left" vertical="center"/>
    </xf>
    <xf numFmtId="164" fontId="1" fillId="3" borderId="5" xfId="0" applyNumberFormat="1" applyFont="1" applyFill="1" applyBorder="1" applyAlignment="1">
      <alignment horizontal="left" vertical="center"/>
    </xf>
    <xf numFmtId="0" fontId="2" fillId="0" borderId="4" xfId="0" applyFont="1" applyBorder="1" applyAlignment="1">
      <alignment vertical="center" wrapText="1"/>
    </xf>
    <xf numFmtId="0" fontId="1" fillId="0" borderId="11" xfId="0" applyFont="1" applyBorder="1">
      <alignment vertical="center"/>
    </xf>
    <xf numFmtId="0" fontId="2" fillId="7" borderId="6" xfId="0" applyFont="1" applyFill="1" applyBorder="1">
      <alignment vertical="center"/>
    </xf>
    <xf numFmtId="164" fontId="2" fillId="7" borderId="6" xfId="0" applyNumberFormat="1" applyFont="1" applyFill="1" applyBorder="1">
      <alignment vertical="center"/>
    </xf>
    <xf numFmtId="164" fontId="2" fillId="7" borderId="12" xfId="0" applyNumberFormat="1" applyFont="1" applyFill="1" applyBorder="1">
      <alignment vertical="center"/>
    </xf>
    <xf numFmtId="164" fontId="1" fillId="0" borderId="5" xfId="0" applyNumberFormat="1" applyFont="1" applyFill="1" applyBorder="1" applyAlignment="1">
      <alignment horizontal="left" vertical="center"/>
    </xf>
    <xf numFmtId="49" fontId="7" fillId="0" borderId="0" xfId="0" applyNumberFormat="1" applyFont="1" applyBorder="1" applyAlignment="1"/>
    <xf numFmtId="49" fontId="1" fillId="0" borderId="0" xfId="0" applyNumberFormat="1" applyFont="1" applyBorder="1" applyAlignment="1">
      <alignment horizontal="left"/>
    </xf>
    <xf numFmtId="49" fontId="6" fillId="0" borderId="0" xfId="0" applyNumberFormat="1" applyFont="1" applyBorder="1" applyAlignment="1">
      <alignment horizontal="left"/>
    </xf>
    <xf numFmtId="49" fontId="2" fillId="0" borderId="4" xfId="0" applyNumberFormat="1" applyFont="1" applyFill="1" applyBorder="1" applyAlignment="1">
      <alignment horizontal="center"/>
    </xf>
    <xf numFmtId="49" fontId="2" fillId="0" borderId="0" xfId="0" applyNumberFormat="1" applyFont="1" applyFill="1" applyBorder="1" applyAlignment="1">
      <alignment horizontal="center"/>
    </xf>
    <xf numFmtId="164" fontId="2" fillId="0" borderId="0" xfId="0" applyNumberFormat="1" applyFont="1" applyFill="1" applyBorder="1" applyAlignment="1">
      <alignment horizontal="center"/>
    </xf>
    <xf numFmtId="164" fontId="2" fillId="0" borderId="5" xfId="0" applyNumberFormat="1" applyFont="1" applyFill="1" applyBorder="1" applyAlignment="1">
      <alignment horizontal="center"/>
    </xf>
    <xf numFmtId="49" fontId="2" fillId="0" borderId="6" xfId="0" applyNumberFormat="1" applyFont="1" applyBorder="1" applyAlignment="1"/>
    <xf numFmtId="164" fontId="2" fillId="0" borderId="6" xfId="0" applyNumberFormat="1" applyFont="1" applyBorder="1" applyAlignment="1">
      <alignment horizontal="left" vertical="center"/>
    </xf>
    <xf numFmtId="164" fontId="2" fillId="0" borderId="12" xfId="0" applyNumberFormat="1" applyFont="1" applyBorder="1" applyAlignment="1">
      <alignment horizontal="left" vertical="center"/>
    </xf>
    <xf numFmtId="49" fontId="2" fillId="0" borderId="0" xfId="0" applyNumberFormat="1" applyFont="1" applyAlignment="1"/>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1" fillId="0" borderId="4"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164" fontId="1" fillId="0" borderId="8" xfId="0" applyNumberFormat="1" applyFont="1" applyBorder="1" applyAlignment="1">
      <alignment horizontal="left" vertical="center"/>
    </xf>
    <xf numFmtId="164" fontId="1" fillId="0" borderId="9" xfId="0" applyNumberFormat="1" applyFont="1" applyBorder="1" applyAlignment="1">
      <alignment horizontal="left" vertical="center"/>
    </xf>
    <xf numFmtId="0" fontId="1" fillId="0" borderId="16" xfId="0" applyFont="1" applyBorder="1" applyAlignment="1">
      <alignment horizontal="left" vertical="center"/>
    </xf>
    <xf numFmtId="0" fontId="1" fillId="0" borderId="17" xfId="0" applyFont="1" applyBorder="1" applyAlignment="1">
      <alignment horizontal="left" vertical="center"/>
    </xf>
    <xf numFmtId="164" fontId="2" fillId="0" borderId="17" xfId="0" applyNumberFormat="1" applyFont="1" applyBorder="1" applyAlignment="1">
      <alignment horizontal="left" vertical="center"/>
    </xf>
    <xf numFmtId="164" fontId="2" fillId="0" borderId="18" xfId="0" applyNumberFormat="1" applyFont="1" applyBorder="1" applyAlignment="1">
      <alignment horizontal="left" vertical="center"/>
    </xf>
    <xf numFmtId="49" fontId="1" fillId="0" borderId="0" xfId="0" applyNumberFormat="1" applyFont="1" applyAlignment="1"/>
    <xf numFmtId="164" fontId="1" fillId="0" borderId="9" xfId="0" applyNumberFormat="1" applyFont="1" applyBorder="1">
      <alignment vertical="center"/>
    </xf>
    <xf numFmtId="0" fontId="2" fillId="0" borderId="17" xfId="0" applyFont="1" applyBorder="1">
      <alignment vertical="center"/>
    </xf>
    <xf numFmtId="164" fontId="2" fillId="0" borderId="17" xfId="0" applyNumberFormat="1" applyFont="1" applyBorder="1">
      <alignment vertical="center"/>
    </xf>
    <xf numFmtId="164" fontId="2" fillId="0" borderId="18" xfId="0" applyNumberFormat="1" applyFont="1" applyBorder="1">
      <alignment vertical="center"/>
    </xf>
    <xf numFmtId="0" fontId="1" fillId="0" borderId="0" xfId="0" applyFont="1" applyAlignment="1">
      <alignment horizontal="justify" vertical="center"/>
    </xf>
    <xf numFmtId="0" fontId="2" fillId="0" borderId="0" xfId="0" applyFont="1">
      <alignment vertical="center"/>
    </xf>
    <xf numFmtId="164" fontId="1" fillId="0" borderId="0" xfId="0" applyNumberFormat="1" applyFont="1">
      <alignment vertical="center"/>
    </xf>
    <xf numFmtId="0" fontId="1" fillId="0" borderId="0" xfId="0" applyFont="1" applyFill="1" applyBorder="1">
      <alignment vertical="center"/>
    </xf>
    <xf numFmtId="164" fontId="2" fillId="0" borderId="0" xfId="0" applyNumberFormat="1" applyFont="1">
      <alignment vertical="center"/>
    </xf>
    <xf numFmtId="0" fontId="11" fillId="0" borderId="0" xfId="0" applyFont="1">
      <alignment vertical="center"/>
    </xf>
    <xf numFmtId="166" fontId="1" fillId="0" borderId="0" xfId="0" applyNumberFormat="1" applyFont="1">
      <alignment vertical="center"/>
    </xf>
    <xf numFmtId="3" fontId="1" fillId="0" borderId="0" xfId="0" applyNumberFormat="1" applyFont="1">
      <alignment vertical="center"/>
    </xf>
    <xf numFmtId="3" fontId="2" fillId="0" borderId="0" xfId="0" applyNumberFormat="1" applyFont="1">
      <alignment vertical="center"/>
    </xf>
    <xf numFmtId="0" fontId="8" fillId="9" borderId="23" xfId="0" applyFont="1" applyFill="1" applyBorder="1" applyAlignment="1">
      <alignment horizontal="center" vertical="center" wrapText="1"/>
    </xf>
    <xf numFmtId="0" fontId="8" fillId="9" borderId="24" xfId="0" applyFont="1" applyFill="1" applyBorder="1" applyAlignment="1">
      <alignment horizontal="center" vertical="center" wrapText="1"/>
    </xf>
    <xf numFmtId="0" fontId="8" fillId="10" borderId="22" xfId="0" applyFont="1" applyFill="1" applyBorder="1" applyAlignment="1">
      <alignment horizontal="justify" vertical="center"/>
    </xf>
    <xf numFmtId="3" fontId="8" fillId="10" borderId="23" xfId="0" applyNumberFormat="1" applyFont="1" applyFill="1" applyBorder="1" applyAlignment="1">
      <alignment horizontal="right" vertical="center" wrapText="1"/>
    </xf>
    <xf numFmtId="3" fontId="8" fillId="10" borderId="24" xfId="0" applyNumberFormat="1" applyFont="1" applyFill="1" applyBorder="1" applyAlignment="1">
      <alignment horizontal="right" vertical="center" wrapText="1"/>
    </xf>
    <xf numFmtId="0" fontId="9" fillId="0" borderId="22" xfId="0" applyFont="1" applyBorder="1" applyAlignment="1">
      <alignment horizontal="justify" vertical="center"/>
    </xf>
    <xf numFmtId="3" fontId="8" fillId="0" borderId="23" xfId="0" applyNumberFormat="1" applyFont="1" applyBorder="1" applyAlignment="1">
      <alignment horizontal="right" vertical="center"/>
    </xf>
    <xf numFmtId="3" fontId="8" fillId="0" borderId="24" xfId="0" applyNumberFormat="1" applyFont="1" applyBorder="1" applyAlignment="1">
      <alignment horizontal="right" vertical="center"/>
    </xf>
    <xf numFmtId="3" fontId="11" fillId="0" borderId="23" xfId="0" applyNumberFormat="1" applyFont="1" applyBorder="1" applyAlignment="1">
      <alignment horizontal="right" vertical="center"/>
    </xf>
    <xf numFmtId="3" fontId="11" fillId="0" borderId="24" xfId="0" applyNumberFormat="1" applyFont="1" applyBorder="1" applyAlignment="1">
      <alignment horizontal="right" vertical="center"/>
    </xf>
    <xf numFmtId="3" fontId="8" fillId="10" borderId="23" xfId="0" applyNumberFormat="1" applyFont="1" applyFill="1" applyBorder="1" applyAlignment="1">
      <alignment horizontal="right" vertical="center"/>
    </xf>
    <xf numFmtId="3" fontId="8" fillId="10" borderId="24" xfId="0" applyNumberFormat="1" applyFont="1" applyFill="1" applyBorder="1" applyAlignment="1">
      <alignment horizontal="right" vertical="center"/>
    </xf>
    <xf numFmtId="49" fontId="9" fillId="0" borderId="22" xfId="0" applyNumberFormat="1" applyFont="1" applyBorder="1" applyAlignment="1">
      <alignment horizontal="justify" vertical="center"/>
    </xf>
    <xf numFmtId="0" fontId="8" fillId="9" borderId="22" xfId="0" applyFont="1" applyFill="1" applyBorder="1" applyAlignment="1">
      <alignment horizontal="justify" vertical="center"/>
    </xf>
    <xf numFmtId="3" fontId="8" fillId="9" borderId="23" xfId="0" applyNumberFormat="1" applyFont="1" applyFill="1" applyBorder="1" applyAlignment="1">
      <alignment horizontal="right" vertical="center"/>
    </xf>
    <xf numFmtId="3" fontId="8" fillId="9" borderId="24" xfId="0" applyNumberFormat="1" applyFont="1" applyFill="1" applyBorder="1" applyAlignment="1">
      <alignment horizontal="right" vertical="center"/>
    </xf>
    <xf numFmtId="3" fontId="12" fillId="9" borderId="23" xfId="0" applyNumberFormat="1" applyFont="1" applyFill="1" applyBorder="1" applyAlignment="1">
      <alignment horizontal="right" vertical="center"/>
    </xf>
    <xf numFmtId="3" fontId="12" fillId="9" borderId="24" xfId="0" applyNumberFormat="1" applyFont="1" applyFill="1" applyBorder="1" applyAlignment="1">
      <alignment horizontal="right" vertical="center"/>
    </xf>
    <xf numFmtId="3" fontId="12" fillId="0" borderId="23" xfId="0" applyNumberFormat="1" applyFont="1" applyBorder="1" applyAlignment="1">
      <alignment horizontal="right" vertical="center"/>
    </xf>
    <xf numFmtId="3" fontId="12" fillId="0" borderId="24" xfId="0" applyNumberFormat="1" applyFont="1" applyBorder="1" applyAlignment="1">
      <alignment horizontal="right" vertical="center"/>
    </xf>
    <xf numFmtId="0" fontId="8" fillId="11" borderId="25" xfId="0" applyFont="1" applyFill="1" applyBorder="1" applyAlignment="1">
      <alignment horizontal="justify" vertical="center"/>
    </xf>
    <xf numFmtId="3" fontId="8" fillId="11" borderId="26" xfId="0" applyNumberFormat="1" applyFont="1" applyFill="1" applyBorder="1" applyAlignment="1">
      <alignment horizontal="right" vertical="center"/>
    </xf>
    <xf numFmtId="3" fontId="8" fillId="11" borderId="27" xfId="0" applyNumberFormat="1" applyFont="1" applyFill="1" applyBorder="1" applyAlignment="1">
      <alignment horizontal="right" vertical="center"/>
    </xf>
    <xf numFmtId="0" fontId="13" fillId="0" borderId="22" xfId="0" applyFont="1" applyBorder="1" applyAlignment="1">
      <alignment horizontal="justify" vertical="center" wrapText="1"/>
    </xf>
    <xf numFmtId="0" fontId="14" fillId="0" borderId="24" xfId="0" applyFont="1" applyBorder="1" applyAlignment="1">
      <alignment horizontal="justify" vertical="center"/>
    </xf>
    <xf numFmtId="0" fontId="14" fillId="0" borderId="24" xfId="0" applyFont="1" applyBorder="1" applyAlignment="1">
      <alignment vertical="center" wrapText="1"/>
    </xf>
    <xf numFmtId="0" fontId="13" fillId="9" borderId="25" xfId="0" applyFont="1" applyFill="1" applyBorder="1" applyAlignment="1">
      <alignment vertical="center" wrapText="1"/>
    </xf>
    <xf numFmtId="0" fontId="13" fillId="9" borderId="19" xfId="0" applyFont="1" applyFill="1" applyBorder="1" applyAlignment="1">
      <alignment horizontal="center" vertical="center" wrapText="1"/>
    </xf>
    <xf numFmtId="0" fontId="13" fillId="9" borderId="20" xfId="0" applyFont="1" applyFill="1" applyBorder="1" applyAlignment="1">
      <alignment horizontal="center" vertical="center" wrapText="1"/>
    </xf>
    <xf numFmtId="0" fontId="2" fillId="0" borderId="22" xfId="0" applyFont="1" applyBorder="1" applyAlignment="1">
      <alignment vertical="center" wrapText="1"/>
    </xf>
    <xf numFmtId="0" fontId="2" fillId="0" borderId="22" xfId="0" applyFont="1" applyBorder="1" applyAlignment="1">
      <alignment horizontal="justify" vertical="center" wrapText="1"/>
    </xf>
    <xf numFmtId="0" fontId="2" fillId="9" borderId="22" xfId="0" applyFont="1" applyFill="1" applyBorder="1" applyAlignment="1">
      <alignment horizontal="justify" vertical="center" wrapText="1"/>
    </xf>
    <xf numFmtId="0" fontId="14" fillId="0" borderId="24" xfId="0" applyFont="1" applyBorder="1" applyAlignment="1">
      <alignment horizontal="justify" vertical="center" wrapText="1"/>
    </xf>
    <xf numFmtId="0" fontId="1" fillId="0" borderId="24" xfId="0" applyFont="1" applyBorder="1" applyAlignment="1">
      <alignment vertical="center" wrapText="1"/>
    </xf>
    <xf numFmtId="0" fontId="13" fillId="9" borderId="27" xfId="0" applyFont="1" applyFill="1" applyBorder="1" applyAlignment="1">
      <alignment horizontal="justify" vertical="center" wrapText="1"/>
    </xf>
    <xf numFmtId="3" fontId="12" fillId="0" borderId="23" xfId="0" applyNumberFormat="1" applyFont="1" applyBorder="1" applyAlignment="1">
      <alignment horizontal="right" vertical="center" wrapText="1"/>
    </xf>
    <xf numFmtId="3" fontId="15" fillId="0" borderId="23" xfId="0" applyNumberFormat="1" applyFont="1" applyBorder="1" applyAlignment="1">
      <alignment horizontal="right" vertical="center" wrapText="1"/>
    </xf>
    <xf numFmtId="3" fontId="8" fillId="0" borderId="23" xfId="0" applyNumberFormat="1" applyFont="1" applyBorder="1" applyAlignment="1">
      <alignment horizontal="center" vertical="center" wrapText="1"/>
    </xf>
    <xf numFmtId="3" fontId="8" fillId="9" borderId="23" xfId="0" applyNumberFormat="1" applyFont="1" applyFill="1" applyBorder="1" applyAlignment="1">
      <alignment horizontal="center" vertical="center" wrapText="1"/>
    </xf>
    <xf numFmtId="3" fontId="11" fillId="0" borderId="23" xfId="0" applyNumberFormat="1" applyFont="1" applyBorder="1" applyAlignment="1">
      <alignment horizontal="center" vertical="center" wrapText="1"/>
    </xf>
    <xf numFmtId="3" fontId="11" fillId="0" borderId="26" xfId="0" applyNumberFormat="1" applyFont="1" applyBorder="1" applyAlignment="1">
      <alignment horizontal="center" vertical="center" wrapText="1"/>
    </xf>
    <xf numFmtId="3" fontId="8" fillId="9" borderId="26" xfId="0" applyNumberFormat="1" applyFont="1" applyFill="1" applyBorder="1" applyAlignment="1">
      <alignment vertical="center"/>
    </xf>
    <xf numFmtId="0" fontId="14" fillId="0" borderId="22" xfId="0" applyFont="1" applyBorder="1" applyAlignment="1">
      <alignment horizontal="left" vertical="center" wrapText="1" indent="1"/>
    </xf>
    <xf numFmtId="0" fontId="2" fillId="0" borderId="22" xfId="0" applyFont="1" applyBorder="1" applyAlignment="1">
      <alignment horizontal="left" vertical="center" wrapText="1" indent="1"/>
    </xf>
    <xf numFmtId="0" fontId="2" fillId="0" borderId="25" xfId="0" applyFont="1" applyBorder="1" applyAlignment="1">
      <alignment horizontal="left" vertical="center" wrapText="1" indent="1"/>
    </xf>
    <xf numFmtId="0" fontId="1" fillId="0" borderId="22" xfId="0" applyFont="1" applyBorder="1" applyAlignment="1">
      <alignment horizontal="left" vertical="center" wrapText="1" indent="1"/>
    </xf>
    <xf numFmtId="0" fontId="1" fillId="12" borderId="0" xfId="0" applyFont="1" applyFill="1">
      <alignment vertical="center"/>
    </xf>
    <xf numFmtId="49" fontId="1" fillId="12" borderId="0" xfId="0" applyNumberFormat="1" applyFont="1" applyFill="1" applyAlignment="1"/>
    <xf numFmtId="10" fontId="1" fillId="3" borderId="5" xfId="0" applyNumberFormat="1" applyFont="1" applyFill="1" applyBorder="1">
      <alignment vertical="center"/>
    </xf>
    <xf numFmtId="0" fontId="10" fillId="0" borderId="22" xfId="0" applyFont="1" applyBorder="1" applyAlignment="1">
      <alignment horizontal="left" vertical="center" indent="1"/>
    </xf>
    <xf numFmtId="0" fontId="2" fillId="2" borderId="2" xfId="0" applyFont="1" applyFill="1" applyBorder="1" applyAlignment="1">
      <alignment horizontal="center" vertical="center"/>
    </xf>
    <xf numFmtId="0" fontId="2" fillId="0" borderId="14" xfId="0" applyFont="1" applyBorder="1" applyAlignment="1">
      <alignment horizontal="center" vertical="center"/>
    </xf>
    <xf numFmtId="0" fontId="14" fillId="0" borderId="0" xfId="0" applyFont="1">
      <alignment vertical="center"/>
    </xf>
    <xf numFmtId="0" fontId="2" fillId="0" borderId="0" xfId="0" applyFont="1" applyBorder="1" applyAlignment="1">
      <alignment horizontal="center" vertical="center"/>
    </xf>
    <xf numFmtId="167" fontId="1" fillId="0" borderId="0" xfId="0" applyNumberFormat="1" applyFont="1">
      <alignment vertical="center"/>
    </xf>
    <xf numFmtId="0" fontId="4" fillId="0" borderId="11" xfId="0" applyFont="1" applyBorder="1">
      <alignment vertical="center"/>
    </xf>
    <xf numFmtId="164" fontId="4" fillId="0" borderId="6" xfId="0" applyNumberFormat="1" applyFont="1" applyFill="1" applyBorder="1">
      <alignment vertical="center"/>
    </xf>
    <xf numFmtId="165" fontId="1" fillId="3" borderId="6" xfId="0" applyNumberFormat="1" applyFont="1" applyFill="1" applyBorder="1">
      <alignment vertical="center"/>
    </xf>
    <xf numFmtId="165" fontId="1" fillId="3" borderId="12" xfId="0" applyNumberFormat="1" applyFont="1" applyFill="1" applyBorder="1">
      <alignment vertical="center"/>
    </xf>
    <xf numFmtId="0" fontId="1" fillId="0" borderId="1" xfId="0" applyFont="1" applyBorder="1">
      <alignment vertical="center"/>
    </xf>
    <xf numFmtId="0" fontId="1" fillId="2" borderId="4" xfId="0" applyFont="1" applyFill="1" applyBorder="1">
      <alignment vertical="center"/>
    </xf>
    <xf numFmtId="0" fontId="13" fillId="9" borderId="15" xfId="0" applyFont="1" applyFill="1" applyBorder="1" applyAlignment="1">
      <alignment horizontal="center" vertical="center" wrapText="1"/>
    </xf>
    <xf numFmtId="3" fontId="8" fillId="0" borderId="30" xfId="0" applyNumberFormat="1" applyFont="1" applyBorder="1" applyAlignment="1">
      <alignment horizontal="center" vertical="center" wrapText="1"/>
    </xf>
    <xf numFmtId="3" fontId="11" fillId="0" borderId="30" xfId="0" applyNumberFormat="1" applyFont="1" applyBorder="1" applyAlignment="1">
      <alignment horizontal="center" vertical="center" wrapText="1"/>
    </xf>
    <xf numFmtId="3" fontId="8" fillId="9" borderId="30" xfId="0" applyNumberFormat="1" applyFont="1" applyFill="1" applyBorder="1" applyAlignment="1">
      <alignment horizontal="center" vertical="center" wrapText="1"/>
    </xf>
    <xf numFmtId="3" fontId="11" fillId="0" borderId="18" xfId="0" applyNumberFormat="1" applyFont="1" applyBorder="1" applyAlignment="1">
      <alignment horizontal="center" vertical="center" wrapText="1"/>
    </xf>
    <xf numFmtId="168" fontId="1" fillId="0" borderId="0" xfId="0" applyNumberFormat="1" applyFont="1">
      <alignment vertical="center"/>
    </xf>
    <xf numFmtId="169" fontId="1" fillId="0" borderId="0" xfId="0" applyNumberFormat="1" applyFont="1">
      <alignment vertical="center"/>
    </xf>
    <xf numFmtId="10" fontId="1" fillId="0" borderId="0" xfId="0" applyNumberFormat="1" applyFont="1" applyBorder="1">
      <alignment vertical="center"/>
    </xf>
    <xf numFmtId="1" fontId="2" fillId="0" borderId="0" xfId="0" applyNumberFormat="1" applyFont="1" applyBorder="1" applyAlignment="1">
      <alignment horizontal="center" vertical="center"/>
    </xf>
    <xf numFmtId="10" fontId="1" fillId="0" borderId="0" xfId="0" applyNumberFormat="1" applyFont="1">
      <alignment vertical="center"/>
    </xf>
    <xf numFmtId="3" fontId="12" fillId="0" borderId="23" xfId="0" applyNumberFormat="1" applyFont="1" applyFill="1" applyBorder="1" applyAlignment="1">
      <alignment horizontal="right" vertical="center" wrapText="1"/>
    </xf>
    <xf numFmtId="3" fontId="15" fillId="0" borderId="23" xfId="0" applyNumberFormat="1" applyFont="1" applyFill="1" applyBorder="1" applyAlignment="1">
      <alignment horizontal="right" vertical="center" wrapText="1"/>
    </xf>
    <xf numFmtId="0" fontId="13" fillId="9" borderId="21" xfId="0" applyFont="1" applyFill="1" applyBorder="1" applyAlignment="1">
      <alignment horizontal="center" vertical="center"/>
    </xf>
    <xf numFmtId="0" fontId="13" fillId="9" borderId="24" xfId="0" applyFont="1" applyFill="1" applyBorder="1" applyAlignment="1">
      <alignment horizontal="center" vertical="center"/>
    </xf>
    <xf numFmtId="0" fontId="13" fillId="9" borderId="28" xfId="0" applyFont="1" applyFill="1" applyBorder="1" applyAlignment="1">
      <alignment horizontal="center" vertical="center"/>
    </xf>
    <xf numFmtId="0" fontId="13" fillId="9" borderId="29" xfId="0" applyFont="1" applyFill="1" applyBorder="1" applyAlignment="1">
      <alignment horizontal="center" vertical="center"/>
    </xf>
    <xf numFmtId="0" fontId="2" fillId="0" borderId="6" xfId="0" applyFont="1" applyBorder="1" applyAlignment="1">
      <alignment horizontal="left" vertical="center"/>
    </xf>
    <xf numFmtId="0" fontId="13" fillId="9" borderId="19" xfId="0" applyFont="1" applyFill="1" applyBorder="1" applyAlignment="1">
      <alignment horizontal="center" vertical="center" wrapText="1"/>
    </xf>
    <xf numFmtId="0" fontId="13" fillId="9" borderId="22"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4" fillId="0" borderId="10" xfId="1" applyFont="1" applyBorder="1" applyAlignment="1">
      <alignment horizontal="center" vertical="center"/>
    </xf>
    <xf numFmtId="0" fontId="4" fillId="0" borderId="8" xfId="1"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8" fillId="9" borderId="20" xfId="0" applyFont="1" applyFill="1" applyBorder="1" applyAlignment="1">
      <alignment horizontal="center" vertical="center" wrapText="1"/>
    </xf>
    <xf numFmtId="0" fontId="8" fillId="9" borderId="21" xfId="0" applyFont="1" applyFill="1" applyBorder="1" applyAlignment="1">
      <alignment horizontal="center" vertical="center" wrapText="1"/>
    </xf>
    <xf numFmtId="0" fontId="8" fillId="9" borderId="19" xfId="0" applyFont="1" applyFill="1" applyBorder="1" applyAlignment="1">
      <alignment horizontal="center" vertical="center" wrapText="1"/>
    </xf>
    <xf numFmtId="0" fontId="8" fillId="9" borderId="22" xfId="0" applyFont="1" applyFill="1" applyBorder="1" applyAlignment="1">
      <alignment horizontal="center" vertical="center" wrapText="1"/>
    </xf>
    <xf numFmtId="0" fontId="14" fillId="0" borderId="24" xfId="0" applyFont="1" applyBorder="1">
      <alignment vertical="center"/>
    </xf>
  </cellXfs>
  <cellStyles count="2">
    <cellStyle name="Normálna" xfId="0" builtinId="0"/>
    <cellStyle name="Normálna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sheetPr>
  <dimension ref="A1:U221"/>
  <sheetViews>
    <sheetView tabSelected="1" topLeftCell="A120" zoomScaleNormal="100" workbookViewId="0">
      <selection activeCell="B94" sqref="B94:F126"/>
    </sheetView>
  </sheetViews>
  <sheetFormatPr defaultColWidth="8.85546875" defaultRowHeight="15.75" x14ac:dyDescent="0.25"/>
  <cols>
    <col min="1" max="1" width="39.85546875" style="1" customWidth="1"/>
    <col min="2" max="2" width="56.140625" style="1" customWidth="1"/>
    <col min="3" max="6" width="16.85546875" style="1" customWidth="1"/>
    <col min="7" max="7" width="47.42578125" style="1" customWidth="1"/>
    <col min="8" max="8" width="56.85546875" style="1" customWidth="1"/>
    <col min="9" max="9" width="39" style="1" customWidth="1"/>
    <col min="10" max="10" width="17.28515625" style="1" customWidth="1"/>
    <col min="11" max="11" width="26.28515625" style="1" customWidth="1"/>
    <col min="12" max="12" width="41.7109375" style="1" customWidth="1"/>
    <col min="13" max="13" width="52.7109375" style="1" customWidth="1"/>
    <col min="14" max="14" width="25.42578125" style="1" customWidth="1"/>
    <col min="15" max="15" width="39.42578125" style="1" customWidth="1"/>
    <col min="16" max="16" width="23.42578125" style="1" customWidth="1"/>
    <col min="17" max="17" width="31.42578125" style="1" customWidth="1"/>
    <col min="18" max="19" width="14.7109375" style="1" customWidth="1"/>
    <col min="20" max="20" width="21" style="1" customWidth="1"/>
    <col min="21" max="21" width="26.85546875" style="1" customWidth="1"/>
    <col min="22" max="22" width="27.85546875" style="1" customWidth="1"/>
    <col min="23" max="23" width="12.7109375" style="1" customWidth="1"/>
    <col min="24" max="16384" width="8.85546875" style="1"/>
  </cols>
  <sheetData>
    <row r="1" spans="2:11" ht="16.5" thickBot="1" x14ac:dyDescent="0.3"/>
    <row r="2" spans="2:11" ht="33" customHeight="1" x14ac:dyDescent="0.25">
      <c r="B2" s="208" t="s">
        <v>0</v>
      </c>
      <c r="C2" s="209"/>
      <c r="D2" s="209"/>
      <c r="E2" s="209"/>
      <c r="F2" s="178"/>
      <c r="G2" s="2"/>
      <c r="H2" s="2"/>
      <c r="I2" s="2"/>
      <c r="J2" s="3"/>
    </row>
    <row r="3" spans="2:11" ht="16.5" x14ac:dyDescent="0.25">
      <c r="B3" s="4" t="s">
        <v>1</v>
      </c>
      <c r="C3" s="5">
        <v>2022</v>
      </c>
      <c r="D3" s="5">
        <v>2023</v>
      </c>
      <c r="E3" s="5">
        <v>2024</v>
      </c>
      <c r="F3" s="5">
        <v>2025</v>
      </c>
      <c r="G3" s="6"/>
      <c r="H3" s="5" t="s">
        <v>5</v>
      </c>
      <c r="I3" s="6"/>
      <c r="J3" s="7"/>
    </row>
    <row r="4" spans="2:11" ht="16.5" x14ac:dyDescent="0.25">
      <c r="B4" s="8"/>
      <c r="C4" s="9"/>
      <c r="D4" s="9"/>
      <c r="E4" s="9"/>
      <c r="F4" s="9"/>
      <c r="G4" s="6"/>
      <c r="H4" s="14">
        <v>0.1</v>
      </c>
      <c r="I4" s="6"/>
      <c r="J4" s="7"/>
    </row>
    <row r="5" spans="2:11" ht="16.5" x14ac:dyDescent="0.25">
      <c r="B5" s="8"/>
      <c r="C5" s="9"/>
      <c r="D5" s="9"/>
      <c r="E5" s="9"/>
      <c r="F5" s="9"/>
      <c r="G5" s="6"/>
      <c r="H5" s="12"/>
      <c r="I5" s="6"/>
      <c r="J5" s="7"/>
    </row>
    <row r="6" spans="2:11" ht="16.5" x14ac:dyDescent="0.25">
      <c r="B6" s="8" t="s">
        <v>2</v>
      </c>
      <c r="C6" s="10">
        <v>0</v>
      </c>
      <c r="D6" s="10">
        <v>18</v>
      </c>
      <c r="E6" s="10">
        <v>18</v>
      </c>
      <c r="F6" s="10">
        <v>18</v>
      </c>
      <c r="G6" s="6"/>
      <c r="H6" s="5" t="s">
        <v>163</v>
      </c>
      <c r="I6" s="6"/>
      <c r="J6" s="7"/>
    </row>
    <row r="7" spans="2:11" ht="16.5" x14ac:dyDescent="0.25">
      <c r="B7" s="8"/>
      <c r="C7" s="9"/>
      <c r="D7" s="9"/>
      <c r="E7" s="9"/>
      <c r="F7" s="9"/>
      <c r="G7" s="6"/>
      <c r="H7" s="16">
        <v>2023</v>
      </c>
      <c r="I7" s="181">
        <v>2024</v>
      </c>
      <c r="J7" s="17">
        <v>2025</v>
      </c>
    </row>
    <row r="8" spans="2:11" ht="16.5" x14ac:dyDescent="0.25">
      <c r="B8" s="4" t="s">
        <v>3</v>
      </c>
      <c r="C8" s="11">
        <f>SUM(C4:C7)</f>
        <v>0</v>
      </c>
      <c r="D8" s="11">
        <f>SUM(D4:D7)</f>
        <v>18</v>
      </c>
      <c r="E8" s="11">
        <f>SUM(E4:E7)</f>
        <v>18</v>
      </c>
      <c r="F8" s="11">
        <f>SUM(F4:F7)</f>
        <v>18</v>
      </c>
      <c r="G8" s="6"/>
      <c r="H8" s="19">
        <f>1+(3.11141924360772)/100</f>
        <v>1.0311141924360772</v>
      </c>
      <c r="I8" s="19">
        <f>1+(1.53878598653472)/100</f>
        <v>1.0153878598653472</v>
      </c>
      <c r="J8" s="176">
        <f>1+(1.53878598653472)/100</f>
        <v>1.0153878598653472</v>
      </c>
    </row>
    <row r="9" spans="2:11" ht="16.5" x14ac:dyDescent="0.25">
      <c r="B9" s="8"/>
      <c r="C9" s="12"/>
      <c r="D9" s="12"/>
      <c r="E9" s="12"/>
      <c r="F9" s="12"/>
      <c r="G9" s="6"/>
      <c r="H9" s="6"/>
      <c r="I9" s="6"/>
      <c r="J9" s="7"/>
    </row>
    <row r="10" spans="2:11" ht="16.5" x14ac:dyDescent="0.25">
      <c r="B10" s="4" t="s">
        <v>4</v>
      </c>
      <c r="C10" s="5">
        <v>2022</v>
      </c>
      <c r="D10" s="5">
        <v>2023</v>
      </c>
      <c r="E10" s="5">
        <v>2024</v>
      </c>
      <c r="F10" s="5">
        <v>2025</v>
      </c>
      <c r="G10" s="12"/>
      <c r="H10" s="6"/>
      <c r="I10" s="6"/>
      <c r="J10" s="7"/>
    </row>
    <row r="11" spans="2:11" ht="16.5" x14ac:dyDescent="0.25">
      <c r="B11" s="8"/>
      <c r="C11" s="13"/>
      <c r="D11" s="13"/>
      <c r="E11" s="13"/>
      <c r="F11" s="13"/>
      <c r="G11" s="12"/>
      <c r="H11" s="6"/>
      <c r="I11" s="6"/>
      <c r="J11" s="7"/>
    </row>
    <row r="12" spans="2:11" ht="16.5" x14ac:dyDescent="0.25">
      <c r="B12" s="8"/>
      <c r="C12" s="13"/>
      <c r="D12" s="13"/>
      <c r="E12" s="6"/>
      <c r="F12" s="6"/>
      <c r="G12" s="6"/>
      <c r="H12" s="20" t="s">
        <v>164</v>
      </c>
      <c r="I12" s="6"/>
      <c r="J12" s="7"/>
    </row>
    <row r="13" spans="2:11" ht="16.5" x14ac:dyDescent="0.25">
      <c r="B13" s="8" t="s">
        <v>2</v>
      </c>
      <c r="C13" s="15">
        <v>2000</v>
      </c>
      <c r="D13" s="12"/>
      <c r="E13" s="6"/>
      <c r="F13" s="6"/>
      <c r="G13" s="6"/>
      <c r="H13" s="6">
        <v>2022</v>
      </c>
      <c r="I13" s="6">
        <v>2023</v>
      </c>
      <c r="J13" s="7">
        <v>2024</v>
      </c>
    </row>
    <row r="14" spans="2:11" ht="17.25" thickBot="1" x14ac:dyDescent="0.3">
      <c r="B14" s="183"/>
      <c r="C14" s="184"/>
      <c r="D14" s="184"/>
      <c r="E14" s="21"/>
      <c r="F14" s="21"/>
      <c r="G14" s="21"/>
      <c r="H14" s="185">
        <f>1+(5.52763819095476)/100</f>
        <v>1.0552763819095476</v>
      </c>
      <c r="I14" s="185">
        <f>1+(5.07936507936508)/100</f>
        <v>1.0507936507936508</v>
      </c>
      <c r="J14" s="186">
        <f>1+(4.83383685800605)/100</f>
        <v>1.0483383685800605</v>
      </c>
    </row>
    <row r="15" spans="2:11" x14ac:dyDescent="0.25">
      <c r="C15" s="6"/>
      <c r="D15" s="6"/>
      <c r="E15" s="6"/>
      <c r="F15" s="6"/>
      <c r="G15" s="6"/>
      <c r="H15" s="6"/>
      <c r="I15" s="6"/>
      <c r="J15" s="6"/>
      <c r="K15" s="6"/>
    </row>
    <row r="16" spans="2:11" x14ac:dyDescent="0.25">
      <c r="C16" s="197">
        <v>2022</v>
      </c>
      <c r="D16" s="197">
        <v>2023</v>
      </c>
      <c r="E16" s="197">
        <v>2024</v>
      </c>
      <c r="F16" s="197">
        <v>2025</v>
      </c>
      <c r="G16" s="6"/>
      <c r="H16" s="6"/>
      <c r="I16" s="6"/>
      <c r="J16" s="6"/>
      <c r="K16" s="6"/>
    </row>
    <row r="17" spans="1:21" x14ac:dyDescent="0.25">
      <c r="B17" s="1" t="s">
        <v>173</v>
      </c>
      <c r="C17" s="196" t="e">
        <f>(C31/(C25+C30))-1</f>
        <v>#DIV/0!</v>
      </c>
      <c r="D17" s="196">
        <f t="shared" ref="D17:F17" si="0">(D31/(D25+D30))-1</f>
        <v>0.34949998937119187</v>
      </c>
      <c r="E17" s="196">
        <f t="shared" si="0"/>
        <v>0.34949998927769044</v>
      </c>
      <c r="F17" s="196">
        <f t="shared" si="0"/>
        <v>0.34949999551963251</v>
      </c>
      <c r="G17" s="6"/>
      <c r="H17" s="6"/>
      <c r="I17" s="6"/>
      <c r="J17" s="6"/>
      <c r="K17" s="6"/>
    </row>
    <row r="18" spans="1:21" x14ac:dyDescent="0.25">
      <c r="D18" s="194"/>
      <c r="E18" s="121"/>
      <c r="F18" s="195"/>
      <c r="K18" s="182"/>
    </row>
    <row r="19" spans="1:21" x14ac:dyDescent="0.25">
      <c r="D19" s="121"/>
    </row>
    <row r="20" spans="1:21" ht="16.5" thickBot="1" x14ac:dyDescent="0.3">
      <c r="D20" s="121"/>
    </row>
    <row r="21" spans="1:21" ht="16.5" thickBot="1" x14ac:dyDescent="0.3">
      <c r="D21" s="34"/>
      <c r="I21" s="187"/>
      <c r="J21" s="2"/>
      <c r="K21" s="2"/>
      <c r="L21" s="2"/>
      <c r="M21" s="2"/>
      <c r="N21" s="2"/>
      <c r="O21" s="2"/>
      <c r="P21" s="2"/>
      <c r="Q21" s="2"/>
      <c r="R21" s="2"/>
      <c r="S21" s="2"/>
      <c r="T21" s="2"/>
      <c r="U21" s="3"/>
    </row>
    <row r="22" spans="1:21" x14ac:dyDescent="0.25">
      <c r="A22" s="22" t="s">
        <v>6</v>
      </c>
      <c r="B22" s="23" t="s">
        <v>7</v>
      </c>
      <c r="C22" s="23" t="s">
        <v>161</v>
      </c>
      <c r="D22" s="23" t="s">
        <v>8</v>
      </c>
      <c r="E22" s="23" t="s">
        <v>9</v>
      </c>
      <c r="F22" s="24" t="s">
        <v>160</v>
      </c>
      <c r="G22" s="25"/>
      <c r="H22" s="26"/>
      <c r="I22" s="188" t="s">
        <v>10</v>
      </c>
      <c r="J22" s="6" t="s">
        <v>165</v>
      </c>
      <c r="K22" s="6">
        <v>7</v>
      </c>
      <c r="L22" s="6"/>
      <c r="M22" s="6"/>
      <c r="N22" s="6"/>
      <c r="O22" s="6"/>
      <c r="P22" s="6"/>
      <c r="Q22" s="6"/>
      <c r="R22" s="6"/>
      <c r="S22" s="6"/>
      <c r="T22" s="6"/>
      <c r="U22" s="7"/>
    </row>
    <row r="23" spans="1:21" x14ac:dyDescent="0.25">
      <c r="A23" s="27"/>
      <c r="B23" s="28" t="s">
        <v>11</v>
      </c>
      <c r="C23" s="28"/>
      <c r="D23" s="28"/>
      <c r="E23" s="28"/>
      <c r="F23" s="29"/>
      <c r="G23" s="26"/>
      <c r="H23" s="26"/>
      <c r="I23" s="18"/>
      <c r="J23" s="6" t="s">
        <v>12</v>
      </c>
      <c r="K23" s="6">
        <v>12</v>
      </c>
      <c r="L23" s="6"/>
      <c r="M23" s="6"/>
      <c r="N23" s="6"/>
      <c r="O23" s="6"/>
      <c r="P23" s="6"/>
      <c r="Q23" s="6"/>
      <c r="R23" s="6"/>
      <c r="S23" s="6"/>
      <c r="T23" s="6"/>
      <c r="U23" s="7"/>
    </row>
    <row r="24" spans="1:21" ht="14.45" customHeight="1" x14ac:dyDescent="0.25">
      <c r="A24" s="30" t="s">
        <v>13</v>
      </c>
      <c r="B24" s="31" t="s">
        <v>14</v>
      </c>
      <c r="C24" s="32">
        <v>0</v>
      </c>
      <c r="D24" s="32">
        <v>0</v>
      </c>
      <c r="E24" s="32">
        <v>0</v>
      </c>
      <c r="F24" s="33">
        <v>0</v>
      </c>
      <c r="G24" s="26"/>
      <c r="H24" s="26"/>
      <c r="I24" s="18"/>
      <c r="J24" s="6"/>
      <c r="K24" s="6"/>
      <c r="L24" s="6"/>
      <c r="M24" s="6"/>
      <c r="N24" s="6"/>
      <c r="O24" s="6"/>
      <c r="P24" s="6"/>
      <c r="Q24" s="6"/>
      <c r="R24" s="6"/>
      <c r="S24" s="6"/>
      <c r="T24" s="6"/>
      <c r="U24" s="7"/>
    </row>
    <row r="25" spans="1:21" ht="14.45" customHeight="1" x14ac:dyDescent="0.3">
      <c r="A25" s="30" t="s">
        <v>13</v>
      </c>
      <c r="B25" s="20" t="s">
        <v>15</v>
      </c>
      <c r="C25" s="34">
        <f>ROUND(C6*$C$13*$K$22,2)</f>
        <v>0</v>
      </c>
      <c r="D25" s="34">
        <f>ROUND(D6*$C$13*$K$23*$H$14,2)</f>
        <v>455879.4</v>
      </c>
      <c r="E25" s="34">
        <f>ROUND(E6*$C$13*$K$23*$H$14*$I$14,2)</f>
        <v>479035.18</v>
      </c>
      <c r="F25" s="35">
        <f>ROUND(F6*$C$13*$K$23*$H$14*$I$14*$J$14,2)</f>
        <v>502190.95</v>
      </c>
      <c r="G25" s="26"/>
      <c r="H25" s="26"/>
      <c r="I25" s="36" t="s">
        <v>16</v>
      </c>
      <c r="J25" s="37" t="s">
        <v>17</v>
      </c>
      <c r="K25" s="37">
        <v>625</v>
      </c>
      <c r="L25" s="37">
        <v>625</v>
      </c>
      <c r="M25" s="37">
        <v>625</v>
      </c>
      <c r="N25" s="37">
        <v>625</v>
      </c>
      <c r="O25" s="37">
        <v>625</v>
      </c>
      <c r="P25" s="37">
        <v>625</v>
      </c>
      <c r="Q25" s="37" t="s">
        <v>18</v>
      </c>
      <c r="R25" s="37">
        <v>627</v>
      </c>
      <c r="S25" s="37"/>
      <c r="T25" s="38"/>
      <c r="U25" s="39"/>
    </row>
    <row r="26" spans="1:21" ht="14.45" customHeight="1" x14ac:dyDescent="0.3">
      <c r="A26" s="30" t="s">
        <v>13</v>
      </c>
      <c r="B26" s="6" t="s">
        <v>19</v>
      </c>
      <c r="C26" s="34">
        <v>0</v>
      </c>
      <c r="D26" s="34">
        <v>0</v>
      </c>
      <c r="E26" s="34">
        <v>0</v>
      </c>
      <c r="F26" s="35">
        <v>0</v>
      </c>
      <c r="G26" s="26"/>
      <c r="H26" s="26"/>
      <c r="I26" s="18"/>
      <c r="J26" s="210" t="s">
        <v>20</v>
      </c>
      <c r="K26" s="40" t="s">
        <v>21</v>
      </c>
      <c r="L26" s="40" t="s">
        <v>22</v>
      </c>
      <c r="M26" s="40" t="s">
        <v>23</v>
      </c>
      <c r="N26" s="40" t="s">
        <v>24</v>
      </c>
      <c r="O26" s="40" t="s">
        <v>25</v>
      </c>
      <c r="P26" s="40" t="s">
        <v>26</v>
      </c>
      <c r="Q26" s="40" t="s">
        <v>27</v>
      </c>
      <c r="R26" s="40" t="s">
        <v>28</v>
      </c>
      <c r="S26" s="41" t="s">
        <v>29</v>
      </c>
      <c r="T26" s="42"/>
      <c r="U26" s="43" t="s">
        <v>30</v>
      </c>
    </row>
    <row r="27" spans="1:21" ht="14.45" customHeight="1" x14ac:dyDescent="0.3">
      <c r="A27" s="30" t="s">
        <v>31</v>
      </c>
      <c r="B27" s="6" t="s">
        <v>32</v>
      </c>
      <c r="C27" s="34">
        <f>ROUND(Q35,2)</f>
        <v>0</v>
      </c>
      <c r="D27" s="34">
        <f>ROUND(Q45,2)</f>
        <v>50146.73</v>
      </c>
      <c r="E27" s="34">
        <f>ROUND(Q55,2)</f>
        <v>52693.87</v>
      </c>
      <c r="F27" s="35">
        <f>ROUND(Q66,2)</f>
        <v>55241</v>
      </c>
      <c r="G27" s="26" t="s">
        <v>33</v>
      </c>
      <c r="H27" s="26"/>
      <c r="I27" s="44"/>
      <c r="J27" s="211"/>
      <c r="K27" s="45">
        <v>1.4E-2</v>
      </c>
      <c r="L27" s="45">
        <v>0.14000000000000001</v>
      </c>
      <c r="M27" s="45">
        <v>0.03</v>
      </c>
      <c r="N27" s="45">
        <v>0.01</v>
      </c>
      <c r="O27" s="45">
        <v>8.0000000000000002E-3</v>
      </c>
      <c r="P27" s="45">
        <v>4.7500000000000001E-2</v>
      </c>
      <c r="Q27" s="45">
        <v>0.1</v>
      </c>
      <c r="R27" s="45" t="s">
        <v>34</v>
      </c>
      <c r="S27" s="45">
        <v>0</v>
      </c>
      <c r="T27" s="46"/>
      <c r="U27" s="47"/>
    </row>
    <row r="28" spans="1:21" ht="14.45" customHeight="1" x14ac:dyDescent="0.25">
      <c r="A28" s="30" t="s">
        <v>35</v>
      </c>
      <c r="B28" s="6" t="s">
        <v>36</v>
      </c>
      <c r="C28" s="34">
        <f>ROUND(N35,2)</f>
        <v>0</v>
      </c>
      <c r="D28" s="34">
        <f>ROUND(N45,2)</f>
        <v>125116.1</v>
      </c>
      <c r="E28" s="34">
        <f>ROUND(N55,2)</f>
        <v>131471.20000000001</v>
      </c>
      <c r="F28" s="35">
        <f>ROUND(N66,2)</f>
        <v>137826.31</v>
      </c>
      <c r="G28" s="26" t="s">
        <v>37</v>
      </c>
      <c r="H28" s="26"/>
      <c r="I28" s="18"/>
      <c r="J28" s="48" t="s">
        <v>38</v>
      </c>
      <c r="K28" s="49"/>
      <c r="L28" s="49"/>
      <c r="M28" s="49"/>
      <c r="N28" s="49"/>
      <c r="O28" s="49"/>
      <c r="P28" s="49"/>
      <c r="Q28" s="49"/>
      <c r="R28" s="50"/>
      <c r="S28" s="49"/>
      <c r="T28" s="50"/>
      <c r="U28" s="51"/>
    </row>
    <row r="29" spans="1:21" ht="14.45" customHeight="1" x14ac:dyDescent="0.25">
      <c r="A29" s="52" t="s">
        <v>39</v>
      </c>
      <c r="B29" s="6" t="s">
        <v>40</v>
      </c>
      <c r="C29" s="34">
        <f>ROUND(U35,2)</f>
        <v>0</v>
      </c>
      <c r="D29" s="34">
        <f>ROUND(U45,2)</f>
        <v>0</v>
      </c>
      <c r="E29" s="34">
        <f>ROUND(U55,2)</f>
        <v>0</v>
      </c>
      <c r="F29" s="35">
        <f>ROUND(U66,2)</f>
        <v>0</v>
      </c>
      <c r="G29" s="26" t="s">
        <v>172</v>
      </c>
      <c r="H29" s="26"/>
      <c r="I29" s="18"/>
      <c r="J29" s="48" t="s">
        <v>15</v>
      </c>
      <c r="K29" s="49">
        <f t="shared" ref="K29:P29" si="1">(K27*$C$6*$C$13*$K$22)</f>
        <v>0</v>
      </c>
      <c r="L29" s="49">
        <f t="shared" si="1"/>
        <v>0</v>
      </c>
      <c r="M29" s="49">
        <f t="shared" si="1"/>
        <v>0</v>
      </c>
      <c r="N29" s="49">
        <f t="shared" si="1"/>
        <v>0</v>
      </c>
      <c r="O29" s="49">
        <f t="shared" si="1"/>
        <v>0</v>
      </c>
      <c r="P29" s="49">
        <f t="shared" si="1"/>
        <v>0</v>
      </c>
      <c r="Q29" s="49">
        <f>(Q27*$C$6*$C$13*$K$22)</f>
        <v>0</v>
      </c>
      <c r="R29" s="50"/>
      <c r="S29" s="49">
        <f>C25*$S$27</f>
        <v>0</v>
      </c>
      <c r="T29" s="50"/>
      <c r="U29" s="51">
        <f t="shared" ref="U29:U32" si="2">SUM(K29:R29)</f>
        <v>0</v>
      </c>
    </row>
    <row r="30" spans="1:21" ht="16.5" x14ac:dyDescent="0.25">
      <c r="A30" s="30" t="s">
        <v>41</v>
      </c>
      <c r="B30" s="6" t="s">
        <v>42</v>
      </c>
      <c r="C30" s="34">
        <f>ROUND((C24+C25+C26)*$H$4,2)</f>
        <v>0</v>
      </c>
      <c r="D30" s="34">
        <f>ROUND((D24+D25+D26)*$H$4,2)</f>
        <v>45587.94</v>
      </c>
      <c r="E30" s="34">
        <f>ROUND((E24+E25+E26)*$H$4,2)</f>
        <v>47903.519999999997</v>
      </c>
      <c r="F30" s="35">
        <f>ROUND((F24+F25+F26)*$H$4,2)</f>
        <v>50219.1</v>
      </c>
      <c r="G30" s="26"/>
      <c r="H30" s="26"/>
      <c r="I30" s="18"/>
      <c r="J30" s="53" t="s">
        <v>43</v>
      </c>
      <c r="K30" s="54"/>
      <c r="L30" s="54"/>
      <c r="M30" s="54"/>
      <c r="N30" s="54"/>
      <c r="O30" s="54"/>
      <c r="P30" s="54"/>
      <c r="Q30" s="54"/>
      <c r="R30" s="55"/>
      <c r="S30" s="54"/>
      <c r="T30" s="55"/>
      <c r="U30" s="56"/>
    </row>
    <row r="31" spans="1:21" ht="16.5" x14ac:dyDescent="0.25">
      <c r="A31" s="52"/>
      <c r="B31" s="57" t="s">
        <v>44</v>
      </c>
      <c r="C31" s="58">
        <f>SUM(C24:C30)</f>
        <v>0</v>
      </c>
      <c r="D31" s="58">
        <f t="shared" ref="D31:F31" si="3">SUM(D24:D30)</f>
        <v>676730.16999999993</v>
      </c>
      <c r="E31" s="58">
        <f t="shared" si="3"/>
        <v>711103.77</v>
      </c>
      <c r="F31" s="59">
        <f t="shared" si="3"/>
        <v>745477.36</v>
      </c>
      <c r="G31" s="26"/>
      <c r="H31" s="26"/>
      <c r="I31" s="18"/>
      <c r="J31" s="48" t="s">
        <v>45</v>
      </c>
      <c r="K31" s="49"/>
      <c r="L31" s="49"/>
      <c r="M31" s="49"/>
      <c r="N31" s="49"/>
      <c r="O31" s="49"/>
      <c r="P31" s="49"/>
      <c r="Q31" s="49"/>
      <c r="R31" s="50"/>
      <c r="S31" s="49"/>
      <c r="T31" s="50"/>
      <c r="U31" s="51"/>
    </row>
    <row r="32" spans="1:21" ht="16.5" x14ac:dyDescent="0.25">
      <c r="A32" s="60"/>
      <c r="B32" s="28" t="s">
        <v>46</v>
      </c>
      <c r="C32" s="28"/>
      <c r="D32" s="28"/>
      <c r="E32" s="28"/>
      <c r="F32" s="29"/>
      <c r="G32" s="26"/>
      <c r="H32" s="26"/>
      <c r="I32" s="18"/>
      <c r="J32" s="48" t="s">
        <v>15</v>
      </c>
      <c r="K32" s="49">
        <f t="shared" ref="K32:P32" si="4">K29*$H$4</f>
        <v>0</v>
      </c>
      <c r="L32" s="49">
        <f t="shared" si="4"/>
        <v>0</v>
      </c>
      <c r="M32" s="49">
        <f t="shared" si="4"/>
        <v>0</v>
      </c>
      <c r="N32" s="49">
        <f t="shared" si="4"/>
        <v>0</v>
      </c>
      <c r="O32" s="49">
        <f t="shared" si="4"/>
        <v>0</v>
      </c>
      <c r="P32" s="49">
        <f t="shared" si="4"/>
        <v>0</v>
      </c>
      <c r="Q32" s="49">
        <f>$H$4*((Q27*$C$5*$C$12*$K$22)+(Q27*$C$6*$C$13*$K$22))</f>
        <v>0</v>
      </c>
      <c r="R32" s="50"/>
      <c r="S32" s="49">
        <f>S29*$H$4</f>
        <v>0</v>
      </c>
      <c r="T32" s="50"/>
      <c r="U32" s="51">
        <f t="shared" si="2"/>
        <v>0</v>
      </c>
    </row>
    <row r="33" spans="1:21" ht="16.5" x14ac:dyDescent="0.25">
      <c r="A33" s="52" t="s">
        <v>47</v>
      </c>
      <c r="B33" s="6" t="s">
        <v>48</v>
      </c>
      <c r="C33" s="61">
        <f>C6*2000*K22/K23</f>
        <v>0</v>
      </c>
      <c r="D33" s="62">
        <f>ROUND(D6*2000*$H$8,2)</f>
        <v>37120.11</v>
      </c>
      <c r="E33" s="62">
        <f>ROUND(E6*2000*$H$8*$I$8,2)</f>
        <v>37691.31</v>
      </c>
      <c r="F33" s="63">
        <f>ROUND(F6*2000*$H$8*$I$8*$J$8,2)</f>
        <v>38271.300000000003</v>
      </c>
      <c r="G33" s="26" t="s">
        <v>49</v>
      </c>
      <c r="H33" s="26"/>
      <c r="I33" s="18"/>
      <c r="J33" s="53" t="s">
        <v>50</v>
      </c>
      <c r="K33" s="54"/>
      <c r="L33" s="54"/>
      <c r="M33" s="54"/>
      <c r="N33" s="54"/>
      <c r="O33" s="54"/>
      <c r="P33" s="54"/>
      <c r="Q33" s="54"/>
      <c r="R33" s="55"/>
      <c r="S33" s="54"/>
      <c r="T33" s="55"/>
      <c r="U33" s="56"/>
    </row>
    <row r="34" spans="1:21" x14ac:dyDescent="0.25">
      <c r="A34" s="52" t="s">
        <v>51</v>
      </c>
      <c r="B34" s="6" t="s">
        <v>52</v>
      </c>
      <c r="C34" s="62">
        <f>500*C6*K22/K23</f>
        <v>0</v>
      </c>
      <c r="D34" s="62">
        <f>ROUND(D6*500*$H$8,2)</f>
        <v>9280.0300000000007</v>
      </c>
      <c r="E34" s="62">
        <f>ROUND(E6*500*$H$8*$I$8,2)</f>
        <v>9422.83</v>
      </c>
      <c r="F34" s="63">
        <f>ROUND(F6*500*$H$8*$I$8*$J$8,2)</f>
        <v>9567.82</v>
      </c>
      <c r="G34" s="26" t="s">
        <v>53</v>
      </c>
      <c r="H34" s="26"/>
      <c r="I34" s="18"/>
      <c r="J34" s="50" t="s">
        <v>54</v>
      </c>
      <c r="K34" s="49">
        <f>SUM(K28:K33)</f>
        <v>0</v>
      </c>
      <c r="L34" s="49">
        <f t="shared" ref="L34:S34" si="5">SUM(L28:L33)</f>
        <v>0</v>
      </c>
      <c r="M34" s="49">
        <f t="shared" si="5"/>
        <v>0</v>
      </c>
      <c r="N34" s="49">
        <f t="shared" si="5"/>
        <v>0</v>
      </c>
      <c r="O34" s="49">
        <f t="shared" si="5"/>
        <v>0</v>
      </c>
      <c r="P34" s="49">
        <f t="shared" si="5"/>
        <v>0</v>
      </c>
      <c r="Q34" s="49">
        <f t="shared" si="5"/>
        <v>0</v>
      </c>
      <c r="R34" s="49">
        <f t="shared" si="5"/>
        <v>0</v>
      </c>
      <c r="S34" s="49">
        <f t="shared" si="5"/>
        <v>0</v>
      </c>
      <c r="T34" s="50"/>
      <c r="U34" s="64"/>
    </row>
    <row r="35" spans="1:21" x14ac:dyDescent="0.25">
      <c r="A35" s="52" t="s">
        <v>55</v>
      </c>
      <c r="B35" s="6" t="s">
        <v>56</v>
      </c>
      <c r="C35" s="32" t="s">
        <v>57</v>
      </c>
      <c r="D35" s="34" t="s">
        <v>57</v>
      </c>
      <c r="E35" s="34" t="s">
        <v>57</v>
      </c>
      <c r="F35" s="35" t="s">
        <v>57</v>
      </c>
      <c r="G35" s="26"/>
      <c r="H35" s="26"/>
      <c r="I35" s="18"/>
      <c r="J35" s="65" t="s">
        <v>58</v>
      </c>
      <c r="K35" s="66">
        <f>SUM(K34:R34)</f>
        <v>0</v>
      </c>
      <c r="L35" s="6"/>
      <c r="M35" s="65" t="s">
        <v>59</v>
      </c>
      <c r="N35" s="66">
        <f>K34+L34+M34+N34+O34+P34+S34</f>
        <v>0</v>
      </c>
      <c r="O35" s="6"/>
      <c r="P35" s="65" t="s">
        <v>60</v>
      </c>
      <c r="Q35" s="66">
        <f>Q34</f>
        <v>0</v>
      </c>
      <c r="R35" s="6"/>
      <c r="S35" s="34"/>
      <c r="T35" s="65" t="s">
        <v>61</v>
      </c>
      <c r="U35" s="67">
        <f>R34</f>
        <v>0</v>
      </c>
    </row>
    <row r="36" spans="1:21" x14ac:dyDescent="0.25">
      <c r="A36" s="52" t="s">
        <v>47</v>
      </c>
      <c r="B36" s="6" t="s">
        <v>62</v>
      </c>
      <c r="C36" s="32" t="s">
        <v>57</v>
      </c>
      <c r="D36" s="34" t="s">
        <v>57</v>
      </c>
      <c r="E36" s="34" t="s">
        <v>57</v>
      </c>
      <c r="F36" s="35" t="s">
        <v>57</v>
      </c>
      <c r="G36" s="26"/>
      <c r="H36" s="26"/>
      <c r="I36" s="18"/>
      <c r="J36" s="68"/>
      <c r="K36" s="69"/>
      <c r="L36" s="69"/>
      <c r="M36" s="69"/>
      <c r="N36" s="69"/>
      <c r="O36" s="69"/>
      <c r="P36" s="69"/>
      <c r="Q36" s="69"/>
      <c r="R36" s="69"/>
      <c r="S36" s="70"/>
      <c r="T36" s="69"/>
      <c r="U36" s="71"/>
    </row>
    <row r="37" spans="1:21" x14ac:dyDescent="0.25">
      <c r="A37" s="52" t="s">
        <v>63</v>
      </c>
      <c r="B37" s="6" t="s">
        <v>64</v>
      </c>
      <c r="C37" s="32" t="s">
        <v>57</v>
      </c>
      <c r="D37" s="34" t="s">
        <v>57</v>
      </c>
      <c r="E37" s="34" t="s">
        <v>57</v>
      </c>
      <c r="F37" s="35" t="s">
        <v>57</v>
      </c>
      <c r="G37" s="26"/>
      <c r="H37" s="26"/>
      <c r="I37" s="18"/>
      <c r="J37" s="72" t="s">
        <v>65</v>
      </c>
      <c r="K37" s="72"/>
      <c r="L37" s="72"/>
      <c r="M37" s="72"/>
      <c r="N37" s="72"/>
      <c r="O37" s="72"/>
      <c r="P37" s="72"/>
      <c r="Q37" s="72"/>
      <c r="R37" s="72"/>
      <c r="S37" s="73"/>
      <c r="T37" s="72"/>
      <c r="U37" s="74"/>
    </row>
    <row r="38" spans="1:21" ht="16.5" x14ac:dyDescent="0.25">
      <c r="A38" s="52" t="s">
        <v>66</v>
      </c>
      <c r="B38" s="6" t="s">
        <v>67</v>
      </c>
      <c r="C38" s="32" t="s">
        <v>57</v>
      </c>
      <c r="D38" s="34" t="s">
        <v>57</v>
      </c>
      <c r="E38" s="34" t="s">
        <v>57</v>
      </c>
      <c r="F38" s="35" t="s">
        <v>57</v>
      </c>
      <c r="G38" s="26"/>
      <c r="H38" s="26"/>
      <c r="I38" s="18"/>
      <c r="J38" s="75" t="s">
        <v>38</v>
      </c>
      <c r="K38" s="73"/>
      <c r="L38" s="73"/>
      <c r="M38" s="73"/>
      <c r="N38" s="73"/>
      <c r="O38" s="73"/>
      <c r="P38" s="73"/>
      <c r="Q38" s="73"/>
      <c r="R38" s="73"/>
      <c r="S38" s="73"/>
      <c r="T38" s="73"/>
      <c r="U38" s="76"/>
    </row>
    <row r="39" spans="1:21" ht="16.5" x14ac:dyDescent="0.25">
      <c r="A39" s="52" t="s">
        <v>47</v>
      </c>
      <c r="B39" s="6"/>
      <c r="C39" s="32" t="s">
        <v>57</v>
      </c>
      <c r="D39" s="34" t="s">
        <v>57</v>
      </c>
      <c r="E39" s="34" t="s">
        <v>57</v>
      </c>
      <c r="F39" s="35" t="s">
        <v>57</v>
      </c>
      <c r="G39" s="26"/>
      <c r="H39" s="26"/>
      <c r="I39" s="18"/>
      <c r="J39" s="48" t="s">
        <v>15</v>
      </c>
      <c r="K39" s="73">
        <f t="shared" ref="K39:P39" si="6">(K27*$D$6*$C$13*$K$23*$H$14)</f>
        <v>6382.3115577889439</v>
      </c>
      <c r="L39" s="73">
        <f t="shared" si="6"/>
        <v>63823.115577889454</v>
      </c>
      <c r="M39" s="73">
        <f t="shared" si="6"/>
        <v>13676.381909547737</v>
      </c>
      <c r="N39" s="73">
        <f t="shared" si="6"/>
        <v>4558.7939698492455</v>
      </c>
      <c r="O39" s="73">
        <f t="shared" si="6"/>
        <v>3647.0351758793977</v>
      </c>
      <c r="P39" s="73">
        <f t="shared" si="6"/>
        <v>21654.271356783916</v>
      </c>
      <c r="Q39" s="73">
        <f>(Q27*$D$6*$C$13*$K$23*$H$14)+(Q27*R39)</f>
        <v>45587.939698492461</v>
      </c>
      <c r="R39" s="73"/>
      <c r="S39" s="73">
        <f>D25*$S$27</f>
        <v>0</v>
      </c>
      <c r="T39" s="73"/>
      <c r="U39" s="76"/>
    </row>
    <row r="40" spans="1:21" ht="16.5" x14ac:dyDescent="0.25">
      <c r="A40" s="52" t="s">
        <v>68</v>
      </c>
      <c r="B40" s="6" t="s">
        <v>69</v>
      </c>
      <c r="C40" s="32" t="s">
        <v>57</v>
      </c>
      <c r="D40" s="34" t="s">
        <v>57</v>
      </c>
      <c r="E40" s="34" t="s">
        <v>57</v>
      </c>
      <c r="F40" s="35" t="s">
        <v>57</v>
      </c>
      <c r="G40" s="26"/>
      <c r="H40" s="26"/>
      <c r="I40" s="18"/>
      <c r="J40" s="77" t="s">
        <v>43</v>
      </c>
      <c r="K40" s="78"/>
      <c r="L40" s="78"/>
      <c r="M40" s="78"/>
      <c r="N40" s="78"/>
      <c r="O40" s="78"/>
      <c r="P40" s="78"/>
      <c r="Q40" s="78"/>
      <c r="R40" s="78"/>
      <c r="S40" s="78"/>
      <c r="T40" s="78"/>
      <c r="U40" s="79"/>
    </row>
    <row r="41" spans="1:21" ht="16.5" x14ac:dyDescent="0.25">
      <c r="A41" s="52" t="s">
        <v>70</v>
      </c>
      <c r="B41" s="6" t="s">
        <v>71</v>
      </c>
      <c r="C41" s="61" t="s">
        <v>57</v>
      </c>
      <c r="D41" s="62" t="s">
        <v>57</v>
      </c>
      <c r="E41" s="62" t="s">
        <v>57</v>
      </c>
      <c r="F41" s="63" t="s">
        <v>57</v>
      </c>
      <c r="G41" s="26"/>
      <c r="H41" s="26"/>
      <c r="I41" s="18"/>
      <c r="J41" s="75" t="s">
        <v>45</v>
      </c>
      <c r="K41" s="73"/>
      <c r="L41" s="73"/>
      <c r="M41" s="73"/>
      <c r="N41" s="73"/>
      <c r="O41" s="73"/>
      <c r="P41" s="73"/>
      <c r="Q41" s="73"/>
      <c r="R41" s="72"/>
      <c r="S41" s="73"/>
      <c r="T41" s="72"/>
      <c r="U41" s="76"/>
    </row>
    <row r="42" spans="1:21" ht="16.5" x14ac:dyDescent="0.25">
      <c r="A42" s="52" t="s">
        <v>55</v>
      </c>
      <c r="B42" s="6" t="s">
        <v>72</v>
      </c>
      <c r="C42" s="32">
        <f>1500*C6*K22/K23</f>
        <v>0</v>
      </c>
      <c r="D42" s="62">
        <f>ROUND(D6*1500*$H$8,2)</f>
        <v>27840.080000000002</v>
      </c>
      <c r="E42" s="62">
        <f>ROUND(E6*2000*$H$8*$I$8,2)</f>
        <v>37691.31</v>
      </c>
      <c r="F42" s="63">
        <f>ROUND(F6*2000*$H$8*$I$8*$J$8,2)</f>
        <v>38271.300000000003</v>
      </c>
      <c r="G42" s="26" t="s">
        <v>73</v>
      </c>
      <c r="H42" s="26"/>
      <c r="I42" s="18"/>
      <c r="J42" s="48" t="s">
        <v>15</v>
      </c>
      <c r="K42" s="73">
        <f t="shared" ref="K42:P42" si="7">K39*$H$4</f>
        <v>638.23115577889439</v>
      </c>
      <c r="L42" s="73">
        <f t="shared" si="7"/>
        <v>6382.3115577889457</v>
      </c>
      <c r="M42" s="73">
        <f t="shared" si="7"/>
        <v>1367.6381909547738</v>
      </c>
      <c r="N42" s="73">
        <f t="shared" si="7"/>
        <v>455.8793969849246</v>
      </c>
      <c r="O42" s="73">
        <f t="shared" si="7"/>
        <v>364.70351758793981</v>
      </c>
      <c r="P42" s="73">
        <f t="shared" si="7"/>
        <v>2165.4271356783916</v>
      </c>
      <c r="Q42" s="73">
        <f>$H$4*((Q27*$D$5*$C$12*$K$23*$H$14)+(Q27*$D$6*$C$13*$K$23*$H$14))</f>
        <v>4558.7939698492464</v>
      </c>
      <c r="R42" s="72"/>
      <c r="S42" s="73">
        <f>S39*$H$4</f>
        <v>0</v>
      </c>
      <c r="T42" s="72"/>
      <c r="U42" s="76"/>
    </row>
    <row r="43" spans="1:21" ht="16.5" x14ac:dyDescent="0.25">
      <c r="A43" s="52" t="s">
        <v>55</v>
      </c>
      <c r="B43" s="6" t="s">
        <v>74</v>
      </c>
      <c r="C43" s="32" t="s">
        <v>57</v>
      </c>
      <c r="D43" s="34" t="s">
        <v>57</v>
      </c>
      <c r="E43" s="34" t="s">
        <v>57</v>
      </c>
      <c r="F43" s="35" t="s">
        <v>57</v>
      </c>
      <c r="G43" s="26"/>
      <c r="H43" s="26"/>
      <c r="I43" s="18"/>
      <c r="J43" s="77" t="s">
        <v>50</v>
      </c>
      <c r="K43" s="78"/>
      <c r="L43" s="78"/>
      <c r="M43" s="78"/>
      <c r="N43" s="78"/>
      <c r="O43" s="78"/>
      <c r="P43" s="78"/>
      <c r="Q43" s="78"/>
      <c r="R43" s="80"/>
      <c r="S43" s="78"/>
      <c r="T43" s="80"/>
      <c r="U43" s="79"/>
    </row>
    <row r="44" spans="1:21" x14ac:dyDescent="0.25">
      <c r="A44" s="52"/>
      <c r="B44" s="57" t="s">
        <v>75</v>
      </c>
      <c r="C44" s="81">
        <f>SUM(C33:C43)</f>
        <v>0</v>
      </c>
      <c r="D44" s="81">
        <f>SUM(D33:D43)</f>
        <v>74240.22</v>
      </c>
      <c r="E44" s="81">
        <f>SUM(E33:E43)</f>
        <v>84805.45</v>
      </c>
      <c r="F44" s="82">
        <f>SUM(F33:F43)</f>
        <v>86110.420000000013</v>
      </c>
      <c r="G44" s="26"/>
      <c r="H44" s="26"/>
      <c r="I44" s="18"/>
      <c r="J44" s="72" t="s">
        <v>170</v>
      </c>
      <c r="K44" s="73">
        <f t="shared" ref="K44:S44" si="8">SUM(K38:K43)</f>
        <v>7020.5427135678383</v>
      </c>
      <c r="L44" s="73">
        <f t="shared" si="8"/>
        <v>70205.427135678401</v>
      </c>
      <c r="M44" s="73">
        <f t="shared" si="8"/>
        <v>15044.020100502512</v>
      </c>
      <c r="N44" s="73">
        <f t="shared" si="8"/>
        <v>5014.6733668341703</v>
      </c>
      <c r="O44" s="73">
        <f t="shared" si="8"/>
        <v>4011.7386934673377</v>
      </c>
      <c r="P44" s="73">
        <f t="shared" si="8"/>
        <v>23819.698492462307</v>
      </c>
      <c r="Q44" s="73">
        <f t="shared" si="8"/>
        <v>50146.733668341709</v>
      </c>
      <c r="R44" s="73">
        <f t="shared" si="8"/>
        <v>0</v>
      </c>
      <c r="S44" s="73">
        <f t="shared" si="8"/>
        <v>0</v>
      </c>
      <c r="T44" s="72"/>
      <c r="U44" s="74"/>
    </row>
    <row r="45" spans="1:21" x14ac:dyDescent="0.25">
      <c r="A45" s="60"/>
      <c r="B45" s="28" t="s">
        <v>76</v>
      </c>
      <c r="C45" s="28"/>
      <c r="D45" s="28"/>
      <c r="E45" s="28"/>
      <c r="F45" s="29"/>
      <c r="G45" s="26"/>
      <c r="H45" s="26"/>
      <c r="I45" s="18"/>
      <c r="J45" s="65" t="s">
        <v>167</v>
      </c>
      <c r="K45" s="66">
        <f>SUM(K44:R44)</f>
        <v>175262.8341708543</v>
      </c>
      <c r="L45" s="6"/>
      <c r="M45" s="65" t="s">
        <v>59</v>
      </c>
      <c r="N45" s="66">
        <f>K44+L44+M44+N44+O44+P44+S44</f>
        <v>125116.10050251258</v>
      </c>
      <c r="O45" s="6"/>
      <c r="P45" s="65" t="s">
        <v>60</v>
      </c>
      <c r="Q45" s="66">
        <f>Q44</f>
        <v>50146.733668341709</v>
      </c>
      <c r="R45" s="6"/>
      <c r="S45" s="34"/>
      <c r="T45" s="65" t="s">
        <v>61</v>
      </c>
      <c r="U45" s="67">
        <f>R44</f>
        <v>0</v>
      </c>
    </row>
    <row r="46" spans="1:21" x14ac:dyDescent="0.25">
      <c r="A46" s="52" t="s">
        <v>77</v>
      </c>
      <c r="B46" s="83" t="s">
        <v>78</v>
      </c>
      <c r="C46" s="32" t="s">
        <v>57</v>
      </c>
      <c r="D46" s="32" t="s">
        <v>57</v>
      </c>
      <c r="E46" s="32" t="s">
        <v>57</v>
      </c>
      <c r="F46" s="33" t="s">
        <v>57</v>
      </c>
      <c r="G46" s="26"/>
      <c r="H46" s="26"/>
      <c r="I46" s="18"/>
      <c r="J46" s="6"/>
      <c r="K46" s="6"/>
      <c r="L46" s="6"/>
      <c r="M46" s="6"/>
      <c r="N46" s="6"/>
      <c r="O46" s="6"/>
      <c r="P46" s="6"/>
      <c r="Q46" s="6"/>
      <c r="R46" s="6"/>
      <c r="S46" s="34"/>
      <c r="T46" s="6"/>
      <c r="U46" s="7"/>
    </row>
    <row r="47" spans="1:21" x14ac:dyDescent="0.25">
      <c r="A47" s="52" t="s">
        <v>79</v>
      </c>
      <c r="B47" s="83" t="s">
        <v>80</v>
      </c>
      <c r="C47" s="32" t="s">
        <v>57</v>
      </c>
      <c r="D47" s="32" t="s">
        <v>57</v>
      </c>
      <c r="E47" s="32" t="s">
        <v>57</v>
      </c>
      <c r="F47" s="33" t="s">
        <v>57</v>
      </c>
      <c r="G47" s="26"/>
      <c r="H47" s="26"/>
      <c r="I47" s="18"/>
      <c r="J47" s="50" t="s">
        <v>81</v>
      </c>
      <c r="K47" s="50"/>
      <c r="L47" s="50"/>
      <c r="M47" s="50"/>
      <c r="N47" s="50"/>
      <c r="O47" s="50"/>
      <c r="P47" s="50"/>
      <c r="Q47" s="50"/>
      <c r="R47" s="50"/>
      <c r="S47" s="49"/>
      <c r="T47" s="50"/>
      <c r="U47" s="64"/>
    </row>
    <row r="48" spans="1:21" ht="16.5" x14ac:dyDescent="0.25">
      <c r="A48" s="52" t="s">
        <v>82</v>
      </c>
      <c r="B48" s="83" t="s">
        <v>83</v>
      </c>
      <c r="C48" s="32" t="s">
        <v>57</v>
      </c>
      <c r="D48" s="32" t="s">
        <v>57</v>
      </c>
      <c r="E48" s="32" t="s">
        <v>57</v>
      </c>
      <c r="F48" s="33" t="s">
        <v>57</v>
      </c>
      <c r="G48" s="26"/>
      <c r="H48" s="26"/>
      <c r="I48" s="18"/>
      <c r="J48" s="48" t="s">
        <v>38</v>
      </c>
      <c r="K48" s="49"/>
      <c r="L48" s="49"/>
      <c r="M48" s="49"/>
      <c r="N48" s="49"/>
      <c r="O48" s="49"/>
      <c r="P48" s="49"/>
      <c r="Q48" s="49"/>
      <c r="R48" s="49"/>
      <c r="S48" s="49"/>
      <c r="T48" s="49"/>
      <c r="U48" s="51"/>
    </row>
    <row r="49" spans="1:21" ht="16.5" x14ac:dyDescent="0.25">
      <c r="A49" s="52" t="s">
        <v>55</v>
      </c>
      <c r="B49" s="83" t="s">
        <v>84</v>
      </c>
      <c r="C49" s="84">
        <v>36000</v>
      </c>
      <c r="D49" s="84">
        <v>24000</v>
      </c>
      <c r="E49" s="84">
        <v>24000</v>
      </c>
      <c r="F49" s="85">
        <v>24000</v>
      </c>
      <c r="G49" s="26"/>
      <c r="H49" s="26"/>
      <c r="I49" s="18"/>
      <c r="J49" s="48" t="s">
        <v>15</v>
      </c>
      <c r="K49" s="49">
        <f t="shared" ref="K49:P49" si="9">(K27*$E$6*$C$13*$K$23*$H$14*$I$14)</f>
        <v>6706.4924623115576</v>
      </c>
      <c r="L49" s="49">
        <f t="shared" si="9"/>
        <v>67064.924623115585</v>
      </c>
      <c r="M49" s="49">
        <f t="shared" si="9"/>
        <v>14371.055276381909</v>
      </c>
      <c r="N49" s="49">
        <f t="shared" si="9"/>
        <v>4790.3517587939696</v>
      </c>
      <c r="O49" s="49">
        <f t="shared" si="9"/>
        <v>3832.2814070351769</v>
      </c>
      <c r="P49" s="49">
        <f t="shared" si="9"/>
        <v>22754.170854271353</v>
      </c>
      <c r="Q49" s="49">
        <f>(Q27*$E$6*$C$13*$K$23*$H$14*$I$14)+(Q27*R49)</f>
        <v>47903.517587939699</v>
      </c>
      <c r="R49" s="49"/>
      <c r="S49" s="49">
        <f>E25*$S$27</f>
        <v>0</v>
      </c>
      <c r="T49" s="49"/>
      <c r="U49" s="51"/>
    </row>
    <row r="50" spans="1:21" ht="31.5" x14ac:dyDescent="0.25">
      <c r="A50" s="86" t="s">
        <v>85</v>
      </c>
      <c r="B50" s="83" t="s">
        <v>86</v>
      </c>
      <c r="C50" s="32" t="s">
        <v>57</v>
      </c>
      <c r="D50" s="32" t="s">
        <v>57</v>
      </c>
      <c r="E50" s="32" t="s">
        <v>57</v>
      </c>
      <c r="F50" s="33" t="s">
        <v>57</v>
      </c>
      <c r="G50" s="26"/>
      <c r="H50" s="26"/>
      <c r="I50" s="18"/>
      <c r="J50" s="53" t="s">
        <v>43</v>
      </c>
      <c r="K50" s="54"/>
      <c r="L50" s="54"/>
      <c r="M50" s="54"/>
      <c r="N50" s="54"/>
      <c r="O50" s="54"/>
      <c r="P50" s="54"/>
      <c r="Q50" s="54"/>
      <c r="R50" s="54"/>
      <c r="S50" s="54"/>
      <c r="T50" s="54"/>
      <c r="U50" s="56"/>
    </row>
    <row r="51" spans="1:21" ht="16.5" x14ac:dyDescent="0.25">
      <c r="A51" s="86" t="s">
        <v>87</v>
      </c>
      <c r="B51" s="83" t="s">
        <v>88</v>
      </c>
      <c r="C51" s="32" t="s">
        <v>57</v>
      </c>
      <c r="D51" s="32" t="s">
        <v>57</v>
      </c>
      <c r="E51" s="32" t="s">
        <v>57</v>
      </c>
      <c r="F51" s="33" t="s">
        <v>57</v>
      </c>
      <c r="G51" s="26"/>
      <c r="H51" s="26"/>
      <c r="I51" s="18"/>
      <c r="J51" s="48" t="s">
        <v>45</v>
      </c>
      <c r="K51" s="49"/>
      <c r="L51" s="49"/>
      <c r="M51" s="49"/>
      <c r="N51" s="49"/>
      <c r="O51" s="49"/>
      <c r="P51" s="49"/>
      <c r="Q51" s="49"/>
      <c r="R51" s="50"/>
      <c r="S51" s="49"/>
      <c r="T51" s="50"/>
      <c r="U51" s="51"/>
    </row>
    <row r="52" spans="1:21" ht="16.5" x14ac:dyDescent="0.25">
      <c r="A52" s="52" t="s">
        <v>87</v>
      </c>
      <c r="B52" s="83" t="s">
        <v>89</v>
      </c>
      <c r="C52" s="32" t="s">
        <v>57</v>
      </c>
      <c r="D52" s="32" t="s">
        <v>57</v>
      </c>
      <c r="E52" s="32" t="s">
        <v>57</v>
      </c>
      <c r="F52" s="33" t="s">
        <v>57</v>
      </c>
      <c r="G52" s="26"/>
      <c r="H52" s="26"/>
      <c r="I52" s="18"/>
      <c r="J52" s="48" t="s">
        <v>15</v>
      </c>
      <c r="K52" s="49">
        <f t="shared" ref="K52:P52" si="10">K49*$H$4</f>
        <v>670.64924623115576</v>
      </c>
      <c r="L52" s="49">
        <f t="shared" si="10"/>
        <v>6706.4924623115585</v>
      </c>
      <c r="M52" s="49">
        <f t="shared" si="10"/>
        <v>1437.105527638191</v>
      </c>
      <c r="N52" s="49">
        <f t="shared" si="10"/>
        <v>479.035175879397</v>
      </c>
      <c r="O52" s="49">
        <f t="shared" si="10"/>
        <v>383.22814070351774</v>
      </c>
      <c r="P52" s="49">
        <f t="shared" si="10"/>
        <v>2275.4170854271356</v>
      </c>
      <c r="Q52" s="49">
        <f>$H$4*((Q27*$E$5*$C$12*$K$23*$H$14*$I$14)+(Q27*$E$6*$C$13*$K$23*$H$14*$I$14))</f>
        <v>4790.3517587939705</v>
      </c>
      <c r="R52" s="50"/>
      <c r="S52" s="49">
        <f>S49*$H$4</f>
        <v>0</v>
      </c>
      <c r="T52" s="50"/>
      <c r="U52" s="51"/>
    </row>
    <row r="53" spans="1:21" ht="16.5" x14ac:dyDescent="0.25">
      <c r="A53" s="52" t="s">
        <v>90</v>
      </c>
      <c r="B53" s="83" t="s">
        <v>91</v>
      </c>
      <c r="C53" s="32" t="s">
        <v>57</v>
      </c>
      <c r="D53" s="32" t="s">
        <v>57</v>
      </c>
      <c r="E53" s="32" t="s">
        <v>57</v>
      </c>
      <c r="F53" s="33" t="s">
        <v>57</v>
      </c>
      <c r="G53" s="26"/>
      <c r="H53" s="26"/>
      <c r="I53" s="18"/>
      <c r="J53" s="53" t="s">
        <v>50</v>
      </c>
      <c r="K53" s="54"/>
      <c r="L53" s="54"/>
      <c r="M53" s="54"/>
      <c r="N53" s="54"/>
      <c r="O53" s="54"/>
      <c r="P53" s="54"/>
      <c r="Q53" s="54"/>
      <c r="R53" s="55"/>
      <c r="S53" s="54"/>
      <c r="T53" s="55"/>
      <c r="U53" s="56"/>
    </row>
    <row r="54" spans="1:21" x14ac:dyDescent="0.25">
      <c r="A54" s="52" t="s">
        <v>92</v>
      </c>
      <c r="B54" s="83" t="s">
        <v>93</v>
      </c>
      <c r="C54" s="32" t="s">
        <v>57</v>
      </c>
      <c r="D54" s="32" t="s">
        <v>57</v>
      </c>
      <c r="E54" s="32" t="s">
        <v>57</v>
      </c>
      <c r="F54" s="33" t="s">
        <v>57</v>
      </c>
      <c r="G54" s="26"/>
      <c r="H54" s="26"/>
      <c r="I54" s="18"/>
      <c r="J54" s="50" t="s">
        <v>168</v>
      </c>
      <c r="K54" s="49">
        <f>SUM(K48:K53)</f>
        <v>7377.1417085427129</v>
      </c>
      <c r="L54" s="49">
        <f t="shared" ref="L54:R54" si="11">SUM(L48:L53)</f>
        <v>73771.417085427151</v>
      </c>
      <c r="M54" s="49">
        <f t="shared" si="11"/>
        <v>15808.160804020099</v>
      </c>
      <c r="N54" s="49">
        <f t="shared" si="11"/>
        <v>5269.3869346733663</v>
      </c>
      <c r="O54" s="49">
        <f t="shared" si="11"/>
        <v>4215.5095477386949</v>
      </c>
      <c r="P54" s="49">
        <f t="shared" si="11"/>
        <v>25029.587939698489</v>
      </c>
      <c r="Q54" s="49">
        <f t="shared" si="11"/>
        <v>52693.869346733671</v>
      </c>
      <c r="R54" s="49">
        <f t="shared" si="11"/>
        <v>0</v>
      </c>
      <c r="S54" s="49">
        <f>SUM(S48:S53)</f>
        <v>0</v>
      </c>
      <c r="T54" s="50"/>
      <c r="U54" s="64"/>
    </row>
    <row r="55" spans="1:21" x14ac:dyDescent="0.25">
      <c r="A55" s="52" t="s">
        <v>92</v>
      </c>
      <c r="B55" s="83" t="s">
        <v>94</v>
      </c>
      <c r="C55" s="32" t="s">
        <v>57</v>
      </c>
      <c r="D55" s="32" t="s">
        <v>57</v>
      </c>
      <c r="E55" s="32" t="s">
        <v>57</v>
      </c>
      <c r="F55" s="33" t="s">
        <v>57</v>
      </c>
      <c r="G55" s="26"/>
      <c r="H55" s="26"/>
      <c r="I55" s="18"/>
      <c r="J55" s="65" t="s">
        <v>166</v>
      </c>
      <c r="K55" s="66">
        <f>SUM(K54:R54)</f>
        <v>184165.07336683417</v>
      </c>
      <c r="L55" s="6"/>
      <c r="M55" s="65" t="s">
        <v>59</v>
      </c>
      <c r="N55" s="66">
        <f>K54+L54+M54+N54+O54+P54+S54</f>
        <v>131471.2040201005</v>
      </c>
      <c r="O55" s="6"/>
      <c r="P55" s="65" t="s">
        <v>60</v>
      </c>
      <c r="Q55" s="66">
        <f>Q54</f>
        <v>52693.869346733671</v>
      </c>
      <c r="R55" s="6"/>
      <c r="S55" s="6"/>
      <c r="T55" s="65" t="s">
        <v>61</v>
      </c>
      <c r="U55" s="67">
        <f>R54</f>
        <v>0</v>
      </c>
    </row>
    <row r="56" spans="1:21" x14ac:dyDescent="0.25">
      <c r="A56" s="52" t="s">
        <v>92</v>
      </c>
      <c r="B56" s="83" t="s">
        <v>95</v>
      </c>
      <c r="C56" s="32" t="s">
        <v>57</v>
      </c>
      <c r="D56" s="32" t="s">
        <v>57</v>
      </c>
      <c r="E56" s="32" t="s">
        <v>57</v>
      </c>
      <c r="F56" s="33" t="s">
        <v>57</v>
      </c>
      <c r="G56" s="26"/>
      <c r="H56" s="26"/>
      <c r="I56" s="18"/>
      <c r="J56" s="6"/>
      <c r="K56" s="6"/>
      <c r="L56" s="6"/>
      <c r="M56" s="6"/>
      <c r="N56" s="6"/>
      <c r="O56" s="6"/>
      <c r="P56" s="6"/>
      <c r="Q56" s="6"/>
      <c r="R56" s="6"/>
      <c r="S56" s="6"/>
      <c r="T56" s="6"/>
      <c r="U56" s="7"/>
    </row>
    <row r="57" spans="1:21" ht="16.5" x14ac:dyDescent="0.3">
      <c r="A57" s="52" t="s">
        <v>92</v>
      </c>
      <c r="B57" s="83" t="s">
        <v>96</v>
      </c>
      <c r="C57" s="61" t="s">
        <v>57</v>
      </c>
      <c r="D57" s="61" t="s">
        <v>57</v>
      </c>
      <c r="E57" s="61" t="s">
        <v>57</v>
      </c>
      <c r="F57" s="91" t="s">
        <v>57</v>
      </c>
      <c r="G57" s="26"/>
      <c r="H57" s="26"/>
      <c r="I57" s="18"/>
      <c r="J57" s="6"/>
      <c r="K57" s="40" t="s">
        <v>21</v>
      </c>
      <c r="L57" s="40" t="s">
        <v>22</v>
      </c>
      <c r="M57" s="40" t="s">
        <v>23</v>
      </c>
      <c r="N57" s="40" t="s">
        <v>24</v>
      </c>
      <c r="O57" s="40" t="s">
        <v>25</v>
      </c>
      <c r="P57" s="40" t="s">
        <v>26</v>
      </c>
      <c r="Q57" s="40" t="s">
        <v>27</v>
      </c>
      <c r="R57" s="40" t="s">
        <v>28</v>
      </c>
      <c r="S57" s="41" t="s">
        <v>29</v>
      </c>
      <c r="T57" s="42"/>
      <c r="U57" s="43" t="s">
        <v>30</v>
      </c>
    </row>
    <row r="58" spans="1:21" ht="16.5" x14ac:dyDescent="0.3">
      <c r="A58" s="52" t="s">
        <v>97</v>
      </c>
      <c r="B58" s="92" t="s">
        <v>98</v>
      </c>
      <c r="C58" s="61" t="s">
        <v>57</v>
      </c>
      <c r="D58" s="61" t="s">
        <v>57</v>
      </c>
      <c r="E58" s="61" t="s">
        <v>57</v>
      </c>
      <c r="F58" s="91" t="s">
        <v>57</v>
      </c>
      <c r="G58" s="26"/>
      <c r="H58" s="26"/>
      <c r="I58" s="18"/>
      <c r="J58" s="50" t="s">
        <v>162</v>
      </c>
      <c r="K58" s="45">
        <v>1.4E-2</v>
      </c>
      <c r="L58" s="45">
        <v>0.14000000000000001</v>
      </c>
      <c r="M58" s="45">
        <v>0.03</v>
      </c>
      <c r="N58" s="45">
        <v>0.01</v>
      </c>
      <c r="O58" s="45">
        <v>8.0000000000000002E-3</v>
      </c>
      <c r="P58" s="45">
        <v>4.7500000000000001E-2</v>
      </c>
      <c r="Q58" s="45">
        <v>0.1</v>
      </c>
      <c r="R58" s="45" t="s">
        <v>34</v>
      </c>
      <c r="S58" s="45">
        <v>0</v>
      </c>
      <c r="T58" s="46"/>
      <c r="U58" s="47"/>
    </row>
    <row r="59" spans="1:21" ht="16.5" x14ac:dyDescent="0.25">
      <c r="A59" s="52" t="s">
        <v>97</v>
      </c>
      <c r="B59" s="92" t="s">
        <v>99</v>
      </c>
      <c r="C59" s="61" t="s">
        <v>57</v>
      </c>
      <c r="D59" s="61" t="s">
        <v>57</v>
      </c>
      <c r="E59" s="61" t="s">
        <v>57</v>
      </c>
      <c r="F59" s="91" t="s">
        <v>57</v>
      </c>
      <c r="G59" s="26"/>
      <c r="H59" s="26"/>
      <c r="I59" s="18"/>
      <c r="J59" s="48" t="s">
        <v>38</v>
      </c>
      <c r="K59" s="6"/>
      <c r="L59" s="6"/>
      <c r="M59" s="6"/>
      <c r="N59" s="6"/>
      <c r="O59" s="6"/>
      <c r="P59" s="6"/>
      <c r="Q59" s="6"/>
      <c r="R59" s="6"/>
      <c r="S59" s="6"/>
      <c r="T59" s="6"/>
      <c r="U59" s="7"/>
    </row>
    <row r="60" spans="1:21" ht="16.5" x14ac:dyDescent="0.25">
      <c r="A60" s="52" t="s">
        <v>100</v>
      </c>
      <c r="B60" s="92" t="s">
        <v>101</v>
      </c>
      <c r="C60" s="61">
        <v>100000</v>
      </c>
      <c r="D60" s="61" t="s">
        <v>57</v>
      </c>
      <c r="E60" s="61" t="s">
        <v>57</v>
      </c>
      <c r="F60" s="91" t="s">
        <v>57</v>
      </c>
      <c r="G60" s="26" t="s">
        <v>102</v>
      </c>
      <c r="H60" s="26"/>
      <c r="I60" s="18"/>
      <c r="J60" s="48" t="s">
        <v>15</v>
      </c>
      <c r="K60" s="34">
        <f>$F$25*K58</f>
        <v>7030.6733000000004</v>
      </c>
      <c r="L60" s="34">
        <f t="shared" ref="L60:S60" si="12">$F$25*L58</f>
        <v>70306.733000000007</v>
      </c>
      <c r="M60" s="34">
        <f t="shared" si="12"/>
        <v>15065.728499999999</v>
      </c>
      <c r="N60" s="34">
        <f t="shared" si="12"/>
        <v>5021.9095000000007</v>
      </c>
      <c r="O60" s="34">
        <f t="shared" si="12"/>
        <v>4017.5276000000003</v>
      </c>
      <c r="P60" s="34">
        <f t="shared" si="12"/>
        <v>23854.070125000002</v>
      </c>
      <c r="Q60" s="34">
        <f>$F$25*Q58+(R60*Q58)</f>
        <v>50219.095000000001</v>
      </c>
      <c r="R60" s="34"/>
      <c r="S60" s="34">
        <f t="shared" si="12"/>
        <v>0</v>
      </c>
      <c r="T60" s="34"/>
      <c r="U60" s="35">
        <f>SUM(K60:S60)</f>
        <v>175515.73702499998</v>
      </c>
    </row>
    <row r="61" spans="1:21" ht="16.5" x14ac:dyDescent="0.25">
      <c r="A61" s="52" t="s">
        <v>100</v>
      </c>
      <c r="B61" s="92" t="s">
        <v>103</v>
      </c>
      <c r="C61" s="61">
        <f>2000*C6</f>
        <v>0</v>
      </c>
      <c r="D61" s="61" t="s">
        <v>57</v>
      </c>
      <c r="E61" s="61" t="s">
        <v>57</v>
      </c>
      <c r="F61" s="91" t="s">
        <v>57</v>
      </c>
      <c r="G61" s="26" t="s">
        <v>104</v>
      </c>
      <c r="H61" s="26"/>
      <c r="I61" s="18"/>
      <c r="J61" s="53" t="s">
        <v>43</v>
      </c>
      <c r="K61" s="6"/>
      <c r="L61" s="6"/>
      <c r="M61" s="6"/>
      <c r="N61" s="6"/>
      <c r="O61" s="6"/>
      <c r="P61" s="6"/>
      <c r="Q61" s="6"/>
      <c r="R61" s="6"/>
      <c r="S61" s="6"/>
      <c r="T61" s="6"/>
      <c r="U61" s="7"/>
    </row>
    <row r="62" spans="1:21" ht="16.5" x14ac:dyDescent="0.25">
      <c r="A62" s="52" t="s">
        <v>55</v>
      </c>
      <c r="B62" s="93" t="s">
        <v>105</v>
      </c>
      <c r="C62" s="61" t="s">
        <v>57</v>
      </c>
      <c r="D62" s="61" t="s">
        <v>57</v>
      </c>
      <c r="E62" s="61" t="s">
        <v>57</v>
      </c>
      <c r="F62" s="91" t="s">
        <v>57</v>
      </c>
      <c r="G62" s="26"/>
      <c r="H62" s="26"/>
      <c r="I62" s="18"/>
      <c r="J62" s="48" t="s">
        <v>45</v>
      </c>
      <c r="K62" s="6"/>
      <c r="L62" s="6"/>
      <c r="M62" s="6"/>
      <c r="N62" s="6"/>
      <c r="O62" s="6"/>
      <c r="P62" s="6"/>
      <c r="Q62" s="6"/>
      <c r="R62" s="6"/>
      <c r="S62" s="6"/>
      <c r="T62" s="6"/>
      <c r="U62" s="7"/>
    </row>
    <row r="63" spans="1:21" ht="16.5" x14ac:dyDescent="0.25">
      <c r="A63" s="18"/>
      <c r="B63" s="94" t="s">
        <v>106</v>
      </c>
      <c r="C63" s="81">
        <f>SUM(C46:C62)</f>
        <v>136000</v>
      </c>
      <c r="D63" s="81">
        <f t="shared" ref="D63" si="13">SUM(D46:D62)</f>
        <v>24000</v>
      </c>
      <c r="E63" s="81">
        <f>ROUND(SUM(E46:E62),2)</f>
        <v>24000</v>
      </c>
      <c r="F63" s="82">
        <f>ROUND(SUM(F46:F62),2)</f>
        <v>24000</v>
      </c>
      <c r="I63" s="18"/>
      <c r="J63" s="48" t="s">
        <v>15</v>
      </c>
      <c r="K63" s="49">
        <f t="shared" ref="K63:S63" si="14">K60*$H$4</f>
        <v>703.06733000000008</v>
      </c>
      <c r="L63" s="49">
        <f t="shared" si="14"/>
        <v>7030.6733000000013</v>
      </c>
      <c r="M63" s="49">
        <f t="shared" si="14"/>
        <v>1506.57285</v>
      </c>
      <c r="N63" s="49">
        <f t="shared" si="14"/>
        <v>502.1909500000001</v>
      </c>
      <c r="O63" s="49">
        <f t="shared" si="14"/>
        <v>401.75276000000008</v>
      </c>
      <c r="P63" s="49">
        <f t="shared" si="14"/>
        <v>2385.4070125000003</v>
      </c>
      <c r="Q63" s="49">
        <f>$F$25*Q58*$H$4</f>
        <v>5021.9095000000007</v>
      </c>
      <c r="R63" s="49"/>
      <c r="S63" s="49">
        <f t="shared" si="14"/>
        <v>0</v>
      </c>
      <c r="T63" s="6"/>
      <c r="U63" s="35">
        <f>SUM(K63:S63)</f>
        <v>17551.573702500002</v>
      </c>
    </row>
    <row r="64" spans="1:21" ht="16.5" x14ac:dyDescent="0.25">
      <c r="A64" s="95"/>
      <c r="B64" s="96"/>
      <c r="C64" s="97"/>
      <c r="D64" s="97"/>
      <c r="E64" s="97"/>
      <c r="F64" s="98"/>
      <c r="I64" s="18"/>
      <c r="J64" s="53" t="s">
        <v>50</v>
      </c>
      <c r="K64" s="6"/>
      <c r="L64" s="6"/>
      <c r="M64" s="6"/>
      <c r="N64" s="6"/>
      <c r="O64" s="6"/>
      <c r="P64" s="6"/>
      <c r="Q64" s="6"/>
      <c r="R64" s="6"/>
      <c r="S64" s="6"/>
      <c r="T64" s="6"/>
      <c r="U64" s="7"/>
    </row>
    <row r="65" spans="1:21" ht="16.5" thickBot="1" x14ac:dyDescent="0.3">
      <c r="A65" s="87"/>
      <c r="B65" s="99" t="s">
        <v>107</v>
      </c>
      <c r="C65" s="100">
        <f>C31+C44+C63</f>
        <v>136000</v>
      </c>
      <c r="D65" s="100">
        <f>D31+D44+D63</f>
        <v>774970.3899999999</v>
      </c>
      <c r="E65" s="100">
        <f>E31+E44+E63</f>
        <v>819909.22</v>
      </c>
      <c r="F65" s="101">
        <f>F31+F44+F63</f>
        <v>855587.78</v>
      </c>
      <c r="I65" s="18"/>
      <c r="J65" s="50" t="s">
        <v>169</v>
      </c>
      <c r="K65" s="49">
        <f>SUM(K59:K64)</f>
        <v>7733.7406300000002</v>
      </c>
      <c r="L65" s="49">
        <f t="shared" ref="L65:Q65" si="15">SUM(L59:L64)</f>
        <v>77337.406300000002</v>
      </c>
      <c r="M65" s="49">
        <f t="shared" si="15"/>
        <v>16572.301349999998</v>
      </c>
      <c r="N65" s="49">
        <f t="shared" si="15"/>
        <v>5524.1004500000008</v>
      </c>
      <c r="O65" s="49">
        <f t="shared" si="15"/>
        <v>4419.2803600000007</v>
      </c>
      <c r="P65" s="49">
        <f t="shared" si="15"/>
        <v>26239.477137500002</v>
      </c>
      <c r="Q65" s="49">
        <f t="shared" si="15"/>
        <v>55241.004500000003</v>
      </c>
      <c r="R65" s="49"/>
      <c r="S65" s="49">
        <f>SUM(S59:S64)</f>
        <v>0</v>
      </c>
      <c r="T65" s="50"/>
      <c r="U65" s="64"/>
    </row>
    <row r="66" spans="1:21" ht="16.5" thickBot="1" x14ac:dyDescent="0.3">
      <c r="B66" s="102"/>
      <c r="C66" s="102"/>
      <c r="I66" s="87"/>
      <c r="J66" s="88" t="s">
        <v>58</v>
      </c>
      <c r="K66" s="89">
        <f>SUM(K65:R65)</f>
        <v>193067.31072750001</v>
      </c>
      <c r="L66" s="21"/>
      <c r="M66" s="88" t="s">
        <v>59</v>
      </c>
      <c r="N66" s="89">
        <f>K65+L65+M65+N65+O65+P65+S65</f>
        <v>137826.3062275</v>
      </c>
      <c r="O66" s="21"/>
      <c r="P66" s="88" t="s">
        <v>60</v>
      </c>
      <c r="Q66" s="89">
        <f>Q65</f>
        <v>55241.004500000003</v>
      </c>
      <c r="R66" s="21"/>
      <c r="S66" s="21"/>
      <c r="T66" s="88" t="s">
        <v>61</v>
      </c>
      <c r="U66" s="90">
        <f>R65</f>
        <v>0</v>
      </c>
    </row>
    <row r="67" spans="1:21" x14ac:dyDescent="0.25">
      <c r="B67" s="102"/>
      <c r="C67" s="102"/>
    </row>
    <row r="68" spans="1:21" x14ac:dyDescent="0.25">
      <c r="B68" s="102"/>
      <c r="C68" s="102"/>
    </row>
    <row r="69" spans="1:21" ht="16.5" thickBot="1" x14ac:dyDescent="0.3">
      <c r="B69" s="102"/>
      <c r="C69" s="102"/>
    </row>
    <row r="70" spans="1:21" x14ac:dyDescent="0.25">
      <c r="A70" s="212" t="s">
        <v>108</v>
      </c>
      <c r="B70" s="213"/>
      <c r="C70" s="103" t="s">
        <v>109</v>
      </c>
      <c r="D70" s="103" t="s">
        <v>110</v>
      </c>
      <c r="E70" s="179" t="s">
        <v>111</v>
      </c>
      <c r="F70" s="104" t="s">
        <v>171</v>
      </c>
    </row>
    <row r="71" spans="1:21" x14ac:dyDescent="0.25">
      <c r="A71" s="105">
        <v>610</v>
      </c>
      <c r="B71" s="31">
        <v>610</v>
      </c>
      <c r="C71" s="32">
        <f>SUM(C24:C26,C30)</f>
        <v>0</v>
      </c>
      <c r="D71" s="32">
        <f>SUM(D24:D26,D30)</f>
        <v>501467.34</v>
      </c>
      <c r="E71" s="32">
        <f>SUM(E24:E26,E30)</f>
        <v>526938.69999999995</v>
      </c>
      <c r="F71" s="33">
        <f>SUM(F24:F26,F30)</f>
        <v>552410.05000000005</v>
      </c>
    </row>
    <row r="72" spans="1:21" x14ac:dyDescent="0.25">
      <c r="A72" s="105" t="s">
        <v>112</v>
      </c>
      <c r="B72" s="31" t="s">
        <v>112</v>
      </c>
      <c r="C72" s="32">
        <f t="shared" ref="C72:E74" si="16">C27</f>
        <v>0</v>
      </c>
      <c r="D72" s="32">
        <f t="shared" si="16"/>
        <v>50146.73</v>
      </c>
      <c r="E72" s="32">
        <f t="shared" si="16"/>
        <v>52693.87</v>
      </c>
      <c r="F72" s="33">
        <f t="shared" ref="F72" si="17">F27</f>
        <v>55241</v>
      </c>
    </row>
    <row r="73" spans="1:21" x14ac:dyDescent="0.25">
      <c r="A73" s="105">
        <v>625</v>
      </c>
      <c r="B73" s="31">
        <v>625</v>
      </c>
      <c r="C73" s="32">
        <f t="shared" si="16"/>
        <v>0</v>
      </c>
      <c r="D73" s="32">
        <f t="shared" si="16"/>
        <v>125116.1</v>
      </c>
      <c r="E73" s="32">
        <f t="shared" si="16"/>
        <v>131471.20000000001</v>
      </c>
      <c r="F73" s="33">
        <f t="shared" ref="F73" si="18">F28</f>
        <v>137826.31</v>
      </c>
    </row>
    <row r="74" spans="1:21" x14ac:dyDescent="0.25">
      <c r="A74" s="105">
        <v>627</v>
      </c>
      <c r="B74" s="31">
        <v>627</v>
      </c>
      <c r="C74" s="32">
        <f t="shared" si="16"/>
        <v>0</v>
      </c>
      <c r="D74" s="32">
        <f t="shared" si="16"/>
        <v>0</v>
      </c>
      <c r="E74" s="32">
        <f t="shared" si="16"/>
        <v>0</v>
      </c>
      <c r="F74" s="33">
        <f t="shared" ref="F74" si="19">F29</f>
        <v>0</v>
      </c>
    </row>
    <row r="75" spans="1:21" x14ac:dyDescent="0.25">
      <c r="A75" s="105">
        <v>631</v>
      </c>
      <c r="B75" s="31">
        <v>631</v>
      </c>
      <c r="C75" s="32">
        <f>C34</f>
        <v>0</v>
      </c>
      <c r="D75" s="32">
        <f>D34</f>
        <v>9280.0300000000007</v>
      </c>
      <c r="E75" s="32">
        <f>E34</f>
        <v>9422.83</v>
      </c>
      <c r="F75" s="33">
        <f>F34</f>
        <v>9567.82</v>
      </c>
    </row>
    <row r="76" spans="1:21" x14ac:dyDescent="0.25">
      <c r="A76" s="105">
        <v>632</v>
      </c>
      <c r="B76" s="31">
        <v>632</v>
      </c>
      <c r="C76" s="32">
        <f>SUM(C50:C52)</f>
        <v>0</v>
      </c>
      <c r="D76" s="32">
        <f t="shared" ref="D76:E76" si="20">SUM(D50:D52)</f>
        <v>0</v>
      </c>
      <c r="E76" s="32">
        <f t="shared" si="20"/>
        <v>0</v>
      </c>
      <c r="F76" s="33">
        <f t="shared" ref="F76" si="21">SUM(F50:F52)</f>
        <v>0</v>
      </c>
    </row>
    <row r="77" spans="1:21" x14ac:dyDescent="0.25">
      <c r="A77" s="105">
        <v>633</v>
      </c>
      <c r="B77" s="31">
        <v>633</v>
      </c>
      <c r="C77" s="32">
        <f>SUM(C37,C40,C48,C53)</f>
        <v>0</v>
      </c>
      <c r="D77" s="32">
        <f>SUM(D37,D40,D48,D53)</f>
        <v>0</v>
      </c>
      <c r="E77" s="32">
        <f>SUM(E37,E40,E48,E53)</f>
        <v>0</v>
      </c>
      <c r="F77" s="33">
        <f>SUM(F37,F40,F48,F53)</f>
        <v>0</v>
      </c>
    </row>
    <row r="78" spans="1:21" x14ac:dyDescent="0.25">
      <c r="A78" s="105">
        <v>636</v>
      </c>
      <c r="B78" s="31">
        <v>636</v>
      </c>
      <c r="C78" s="32">
        <v>0</v>
      </c>
      <c r="D78" s="32">
        <v>0</v>
      </c>
      <c r="E78" s="32">
        <v>0</v>
      </c>
      <c r="F78" s="33">
        <v>0</v>
      </c>
    </row>
    <row r="79" spans="1:21" x14ac:dyDescent="0.25">
      <c r="A79" s="105">
        <v>637</v>
      </c>
      <c r="B79" s="31">
        <v>637</v>
      </c>
      <c r="C79" s="32">
        <f>SUM(C33,C35,C36,C38:C39,C41:C43,C47,C49,C54:C57,C62)</f>
        <v>36000</v>
      </c>
      <c r="D79" s="32">
        <f>SUM(D33,D35,D36,D38:D39,D41:D43,D47,D49,D54:D57,D62)</f>
        <v>88960.19</v>
      </c>
      <c r="E79" s="32">
        <f>SUM(E33,E35,E36,E38:E39,E41:E43,E47,E49,E54:E57,E62)</f>
        <v>99382.62</v>
      </c>
      <c r="F79" s="33">
        <f>SUM(F33,F35,F36,F38:F39,F41:F43,F47,F49,F54:F57,F62)</f>
        <v>100542.6</v>
      </c>
    </row>
    <row r="80" spans="1:21" x14ac:dyDescent="0.25">
      <c r="A80" s="105">
        <v>711</v>
      </c>
      <c r="B80" s="31">
        <v>711</v>
      </c>
      <c r="C80" s="32">
        <f>SUM(C60:C61)</f>
        <v>100000</v>
      </c>
      <c r="D80" s="32">
        <f t="shared" ref="D80:E80" si="22">SUM(D60:D61)</f>
        <v>0</v>
      </c>
      <c r="E80" s="32">
        <f t="shared" si="22"/>
        <v>0</v>
      </c>
      <c r="F80" s="33">
        <f t="shared" ref="F80" si="23">SUM(F60:F61)</f>
        <v>0</v>
      </c>
    </row>
    <row r="81" spans="1:14" x14ac:dyDescent="0.25">
      <c r="A81" s="106">
        <v>713</v>
      </c>
      <c r="B81" s="107">
        <v>713</v>
      </c>
      <c r="C81" s="108">
        <f>SUM(C58:C59)</f>
        <v>0</v>
      </c>
      <c r="D81" s="108">
        <f t="shared" ref="D81:E81" si="24">SUM(D58:D59)</f>
        <v>0</v>
      </c>
      <c r="E81" s="108">
        <f t="shared" si="24"/>
        <v>0</v>
      </c>
      <c r="F81" s="109">
        <f t="shared" ref="F81" si="25">SUM(F58:F59)</f>
        <v>0</v>
      </c>
    </row>
    <row r="82" spans="1:14" ht="16.5" thickBot="1" x14ac:dyDescent="0.3">
      <c r="A82" s="110"/>
      <c r="B82" s="111"/>
      <c r="C82" s="112">
        <f>SUM(C71:C81)</f>
        <v>136000</v>
      </c>
      <c r="D82" s="112">
        <f t="shared" ref="D82:E82" si="26">SUM(D71:D81)</f>
        <v>774970.39000000013</v>
      </c>
      <c r="E82" s="112">
        <f t="shared" si="26"/>
        <v>819909.22</v>
      </c>
      <c r="F82" s="113">
        <f t="shared" ref="F82" si="27">SUM(F71:F81)</f>
        <v>855587.78</v>
      </c>
    </row>
    <row r="83" spans="1:14" x14ac:dyDescent="0.25">
      <c r="B83" s="102"/>
      <c r="C83" s="102"/>
      <c r="D83" s="102"/>
      <c r="E83" s="102"/>
    </row>
    <row r="84" spans="1:14" x14ac:dyDescent="0.25">
      <c r="B84" s="102"/>
      <c r="C84" s="102"/>
      <c r="D84" s="102"/>
      <c r="E84" s="102"/>
    </row>
    <row r="85" spans="1:14" x14ac:dyDescent="0.25">
      <c r="B85" s="102"/>
      <c r="C85" s="102"/>
      <c r="D85" s="102"/>
      <c r="E85" s="102"/>
    </row>
    <row r="86" spans="1:14" ht="16.5" thickBot="1" x14ac:dyDescent="0.3">
      <c r="B86" s="102"/>
      <c r="C86" s="102"/>
      <c r="K86" s="114"/>
    </row>
    <row r="87" spans="1:14" x14ac:dyDescent="0.25">
      <c r="A87" s="212" t="s">
        <v>108</v>
      </c>
      <c r="B87" s="213"/>
      <c r="C87" s="103" t="s">
        <v>109</v>
      </c>
      <c r="D87" s="103" t="s">
        <v>110</v>
      </c>
      <c r="E87" s="179" t="s">
        <v>111</v>
      </c>
      <c r="F87" s="104" t="s">
        <v>171</v>
      </c>
      <c r="K87" s="114"/>
    </row>
    <row r="88" spans="1:14" x14ac:dyDescent="0.25">
      <c r="A88" s="18"/>
      <c r="B88" s="6" t="s">
        <v>113</v>
      </c>
      <c r="C88" s="34">
        <v>0</v>
      </c>
      <c r="D88" s="34">
        <f t="shared" ref="D88:E88" si="28">D71</f>
        <v>501467.34</v>
      </c>
      <c r="E88" s="34">
        <f t="shared" si="28"/>
        <v>526938.69999999995</v>
      </c>
      <c r="F88" s="35">
        <f t="shared" ref="F88" si="29">F71</f>
        <v>552410.05000000005</v>
      </c>
      <c r="N88" s="114"/>
    </row>
    <row r="89" spans="1:14" x14ac:dyDescent="0.25">
      <c r="A89" s="18"/>
      <c r="B89" s="69" t="s">
        <v>114</v>
      </c>
      <c r="C89" s="70">
        <v>0</v>
      </c>
      <c r="D89" s="70">
        <f t="shared" ref="D89:E89" si="30">SUM(D72:D74)</f>
        <v>175262.83000000002</v>
      </c>
      <c r="E89" s="70">
        <f t="shared" si="30"/>
        <v>184165.07</v>
      </c>
      <c r="F89" s="115">
        <f t="shared" ref="F89" si="31">SUM(F72:F74)</f>
        <v>193067.31</v>
      </c>
      <c r="N89" s="114"/>
    </row>
    <row r="90" spans="1:14" ht="16.5" thickBot="1" x14ac:dyDescent="0.3">
      <c r="A90" s="87"/>
      <c r="B90" s="116" t="s">
        <v>115</v>
      </c>
      <c r="C90" s="117">
        <f>SUM(C88:C89)</f>
        <v>0</v>
      </c>
      <c r="D90" s="117">
        <f t="shared" ref="D90:E90" si="32">SUM(D88:D89)</f>
        <v>676730.17</v>
      </c>
      <c r="E90" s="117">
        <f t="shared" si="32"/>
        <v>711103.77</v>
      </c>
      <c r="F90" s="118">
        <f t="shared" ref="F90" si="33">SUM(F88:F89)</f>
        <v>745477.3600000001</v>
      </c>
      <c r="I90" s="119"/>
      <c r="N90" s="114"/>
    </row>
    <row r="91" spans="1:14" s="174" customFormat="1" x14ac:dyDescent="0.25">
      <c r="K91" s="175"/>
    </row>
    <row r="92" spans="1:14" s="174" customFormat="1" x14ac:dyDescent="0.25">
      <c r="K92" s="175"/>
    </row>
    <row r="93" spans="1:14" ht="16.5" thickBot="1" x14ac:dyDescent="0.3">
      <c r="B93" s="120" t="s">
        <v>149</v>
      </c>
      <c r="K93" s="114"/>
    </row>
    <row r="94" spans="1:14" x14ac:dyDescent="0.25">
      <c r="B94" s="216" t="s">
        <v>116</v>
      </c>
      <c r="C94" s="214" t="s">
        <v>116</v>
      </c>
      <c r="D94" s="214"/>
      <c r="E94" s="214"/>
      <c r="F94" s="215"/>
      <c r="K94" s="114"/>
    </row>
    <row r="95" spans="1:14" x14ac:dyDescent="0.25">
      <c r="B95" s="217"/>
      <c r="C95" s="128">
        <v>2022</v>
      </c>
      <c r="D95" s="128">
        <v>2023</v>
      </c>
      <c r="E95" s="128">
        <v>2024</v>
      </c>
      <c r="F95" s="129">
        <v>2025</v>
      </c>
      <c r="J95" s="114"/>
    </row>
    <row r="96" spans="1:14" x14ac:dyDescent="0.25">
      <c r="B96" s="130" t="s">
        <v>117</v>
      </c>
      <c r="C96" s="131">
        <v>0</v>
      </c>
      <c r="D96" s="131">
        <v>0</v>
      </c>
      <c r="E96" s="131">
        <v>0</v>
      </c>
      <c r="F96" s="132">
        <v>0</v>
      </c>
      <c r="J96" s="114"/>
    </row>
    <row r="97" spans="2:10" x14ac:dyDescent="0.25">
      <c r="B97" s="133" t="s">
        <v>118</v>
      </c>
      <c r="C97" s="134"/>
      <c r="D97" s="134"/>
      <c r="E97" s="134"/>
      <c r="F97" s="135"/>
      <c r="J97" s="114"/>
    </row>
    <row r="98" spans="2:10" x14ac:dyDescent="0.25">
      <c r="B98" s="133" t="s">
        <v>119</v>
      </c>
      <c r="C98" s="134">
        <v>0</v>
      </c>
      <c r="D98" s="134">
        <v>0</v>
      </c>
      <c r="E98" s="134">
        <v>0</v>
      </c>
      <c r="F98" s="135">
        <v>0</v>
      </c>
      <c r="J98" s="114"/>
    </row>
    <row r="99" spans="2:10" x14ac:dyDescent="0.25">
      <c r="B99" s="177" t="s">
        <v>120</v>
      </c>
      <c r="C99" s="136">
        <v>0</v>
      </c>
      <c r="D99" s="136">
        <v>0</v>
      </c>
      <c r="E99" s="136">
        <v>0</v>
      </c>
      <c r="F99" s="137">
        <v>0</v>
      </c>
      <c r="J99" s="114"/>
    </row>
    <row r="100" spans="2:10" x14ac:dyDescent="0.25">
      <c r="B100" s="177" t="s">
        <v>121</v>
      </c>
      <c r="C100" s="136">
        <v>0</v>
      </c>
      <c r="D100" s="136">
        <v>0</v>
      </c>
      <c r="E100" s="136">
        <v>0</v>
      </c>
      <c r="F100" s="137">
        <v>0</v>
      </c>
      <c r="J100" s="114"/>
    </row>
    <row r="101" spans="2:10" x14ac:dyDescent="0.25">
      <c r="B101" s="133" t="s">
        <v>122</v>
      </c>
      <c r="C101" s="134">
        <v>0</v>
      </c>
      <c r="D101" s="134">
        <v>0</v>
      </c>
      <c r="E101" s="134">
        <v>0</v>
      </c>
      <c r="F101" s="135">
        <v>0</v>
      </c>
      <c r="J101" s="114"/>
    </row>
    <row r="102" spans="2:10" x14ac:dyDescent="0.25">
      <c r="B102" s="133" t="s">
        <v>123</v>
      </c>
      <c r="C102" s="134">
        <v>0</v>
      </c>
      <c r="D102" s="134">
        <v>0</v>
      </c>
      <c r="E102" s="134">
        <v>0</v>
      </c>
      <c r="F102" s="135">
        <v>0</v>
      </c>
      <c r="J102" s="114"/>
    </row>
    <row r="103" spans="2:10" x14ac:dyDescent="0.25">
      <c r="B103" s="133" t="s">
        <v>124</v>
      </c>
      <c r="C103" s="134">
        <v>0</v>
      </c>
      <c r="D103" s="134">
        <v>0</v>
      </c>
      <c r="E103" s="134">
        <v>0</v>
      </c>
      <c r="F103" s="135">
        <v>0</v>
      </c>
      <c r="J103" s="114"/>
    </row>
    <row r="104" spans="2:10" x14ac:dyDescent="0.25">
      <c r="B104" s="130" t="s">
        <v>125</v>
      </c>
      <c r="C104" s="138">
        <f>SUM(C107:C112)</f>
        <v>8196000.0000000037</v>
      </c>
      <c r="D104" s="138">
        <f>SUM(D107:D112)</f>
        <v>50785593.000000015</v>
      </c>
      <c r="E104" s="138">
        <f>SUM(E107:E112)</f>
        <v>69990848.99999997</v>
      </c>
      <c r="F104" s="139">
        <f>SUM(F107:F112)</f>
        <v>68856849.00000003</v>
      </c>
      <c r="J104" s="114"/>
    </row>
    <row r="105" spans="2:10" x14ac:dyDescent="0.25">
      <c r="B105" s="133" t="s">
        <v>126</v>
      </c>
      <c r="C105" s="134"/>
      <c r="D105" s="134"/>
      <c r="E105" s="134"/>
      <c r="F105" s="135"/>
      <c r="J105" s="114"/>
    </row>
    <row r="106" spans="2:10" x14ac:dyDescent="0.25">
      <c r="B106" s="133" t="s">
        <v>119</v>
      </c>
      <c r="C106" s="134">
        <f>C107</f>
        <v>136000</v>
      </c>
      <c r="D106" s="134">
        <f>D107</f>
        <v>795593</v>
      </c>
      <c r="E106" s="134">
        <f>E107</f>
        <v>840849</v>
      </c>
      <c r="F106" s="135">
        <f>F107</f>
        <v>876849</v>
      </c>
      <c r="J106" s="114"/>
    </row>
    <row r="107" spans="2:10" x14ac:dyDescent="0.25">
      <c r="B107" s="177" t="s">
        <v>127</v>
      </c>
      <c r="C107" s="136">
        <v>136000</v>
      </c>
      <c r="D107" s="136">
        <f>D140</f>
        <v>795593</v>
      </c>
      <c r="E107" s="136">
        <f>E140</f>
        <v>840849</v>
      </c>
      <c r="F107" s="137">
        <f>F140</f>
        <v>876849</v>
      </c>
      <c r="J107" s="114"/>
    </row>
    <row r="108" spans="2:10" x14ac:dyDescent="0.25">
      <c r="B108" s="177" t="s">
        <v>121</v>
      </c>
      <c r="C108" s="136">
        <v>0</v>
      </c>
      <c r="D108" s="136">
        <v>0</v>
      </c>
      <c r="E108" s="136">
        <v>0</v>
      </c>
      <c r="F108" s="137">
        <v>0</v>
      </c>
      <c r="J108" s="114"/>
    </row>
    <row r="109" spans="2:10" x14ac:dyDescent="0.25">
      <c r="B109" s="177" t="s">
        <v>128</v>
      </c>
      <c r="C109" s="136">
        <v>0</v>
      </c>
      <c r="D109" s="136">
        <v>0</v>
      </c>
      <c r="E109" s="136">
        <v>0</v>
      </c>
      <c r="F109" s="137">
        <v>0</v>
      </c>
      <c r="J109" s="114"/>
    </row>
    <row r="110" spans="2:10" x14ac:dyDescent="0.25">
      <c r="B110" s="133" t="s">
        <v>122</v>
      </c>
      <c r="C110" s="134">
        <v>0</v>
      </c>
      <c r="D110" s="134">
        <v>0</v>
      </c>
      <c r="E110" s="134">
        <v>0</v>
      </c>
      <c r="F110" s="135">
        <v>0</v>
      </c>
      <c r="J110" s="114"/>
    </row>
    <row r="111" spans="2:10" x14ac:dyDescent="0.25">
      <c r="B111" s="133" t="s">
        <v>123</v>
      </c>
      <c r="C111" s="134">
        <v>0</v>
      </c>
      <c r="D111" s="134">
        <v>0</v>
      </c>
      <c r="E111" s="134">
        <v>0</v>
      </c>
      <c r="F111" s="135">
        <v>0</v>
      </c>
      <c r="J111" s="114"/>
    </row>
    <row r="112" spans="2:10" x14ac:dyDescent="0.25">
      <c r="B112" s="140" t="s">
        <v>124</v>
      </c>
      <c r="C112" s="134">
        <f>C113</f>
        <v>8060000.0000000037</v>
      </c>
      <c r="D112" s="134">
        <f>D113</f>
        <v>49990000.000000015</v>
      </c>
      <c r="E112" s="134">
        <f t="shared" ref="E112:F112" si="34">E113</f>
        <v>69149999.99999997</v>
      </c>
      <c r="F112" s="135">
        <f t="shared" si="34"/>
        <v>67980000.00000003</v>
      </c>
      <c r="J112" s="114"/>
    </row>
    <row r="113" spans="2:11" x14ac:dyDescent="0.25">
      <c r="B113" s="177" t="s">
        <v>157</v>
      </c>
      <c r="C113" s="136">
        <v>8060000.0000000037</v>
      </c>
      <c r="D113" s="136">
        <v>49990000.000000015</v>
      </c>
      <c r="E113" s="136">
        <v>69149999.99999997</v>
      </c>
      <c r="F113" s="136">
        <v>67980000.00000003</v>
      </c>
      <c r="J113" s="114"/>
    </row>
    <row r="114" spans="2:11" x14ac:dyDescent="0.25">
      <c r="B114" s="141" t="s">
        <v>129</v>
      </c>
      <c r="C114" s="142">
        <f>C118+C115</f>
        <v>0</v>
      </c>
      <c r="D114" s="142">
        <f t="shared" ref="D114:E114" si="35">D118+D115</f>
        <v>18</v>
      </c>
      <c r="E114" s="142">
        <f t="shared" si="35"/>
        <v>18</v>
      </c>
      <c r="F114" s="143">
        <f t="shared" ref="F114" si="36">F118+F115</f>
        <v>18</v>
      </c>
      <c r="J114" s="114"/>
    </row>
    <row r="115" spans="2:11" x14ac:dyDescent="0.25">
      <c r="B115" s="140" t="s">
        <v>130</v>
      </c>
      <c r="C115" s="134">
        <v>0</v>
      </c>
      <c r="D115" s="134">
        <f>D8</f>
        <v>18</v>
      </c>
      <c r="E115" s="134">
        <f>E8</f>
        <v>18</v>
      </c>
      <c r="F115" s="135">
        <f>F8</f>
        <v>18</v>
      </c>
      <c r="J115" s="114"/>
    </row>
    <row r="116" spans="2:11" x14ac:dyDescent="0.25">
      <c r="B116" s="140" t="s">
        <v>122</v>
      </c>
      <c r="C116" s="134">
        <v>0</v>
      </c>
      <c r="D116" s="134">
        <v>0</v>
      </c>
      <c r="E116" s="134">
        <v>0</v>
      </c>
      <c r="F116" s="135">
        <v>0</v>
      </c>
      <c r="J116" s="114"/>
    </row>
    <row r="117" spans="2:11" x14ac:dyDescent="0.25">
      <c r="B117" s="140" t="s">
        <v>123</v>
      </c>
      <c r="C117" s="134">
        <v>0</v>
      </c>
      <c r="D117" s="134">
        <v>0</v>
      </c>
      <c r="E117" s="134">
        <v>0</v>
      </c>
      <c r="F117" s="135">
        <v>0</v>
      </c>
      <c r="J117" s="114"/>
    </row>
    <row r="118" spans="2:11" x14ac:dyDescent="0.25">
      <c r="B118" s="140" t="s">
        <v>124</v>
      </c>
      <c r="C118" s="134">
        <v>0</v>
      </c>
      <c r="D118" s="134">
        <v>0</v>
      </c>
      <c r="E118" s="134">
        <v>0</v>
      </c>
      <c r="F118" s="135">
        <v>0</v>
      </c>
      <c r="J118" s="114"/>
    </row>
    <row r="119" spans="2:11" x14ac:dyDescent="0.25">
      <c r="B119" s="141" t="s">
        <v>131</v>
      </c>
      <c r="C119" s="144">
        <f>C123+C120</f>
        <v>0</v>
      </c>
      <c r="D119" s="144">
        <f>D123+D120</f>
        <v>501467.34</v>
      </c>
      <c r="E119" s="144">
        <f>E123+E120</f>
        <v>526938.69999999995</v>
      </c>
      <c r="F119" s="145">
        <f>F123+F120</f>
        <v>552410.05000000005</v>
      </c>
      <c r="J119" s="114"/>
    </row>
    <row r="120" spans="2:11" x14ac:dyDescent="0.25">
      <c r="B120" s="140" t="s">
        <v>132</v>
      </c>
      <c r="C120" s="146">
        <v>0</v>
      </c>
      <c r="D120" s="146">
        <f>D88</f>
        <v>501467.34</v>
      </c>
      <c r="E120" s="146">
        <f>E88</f>
        <v>526938.69999999995</v>
      </c>
      <c r="F120" s="147">
        <f>F88</f>
        <v>552410.05000000005</v>
      </c>
      <c r="J120" s="114"/>
    </row>
    <row r="121" spans="2:11" x14ac:dyDescent="0.25">
      <c r="B121" s="140" t="s">
        <v>122</v>
      </c>
      <c r="C121" s="134">
        <v>0</v>
      </c>
      <c r="D121" s="134">
        <v>0</v>
      </c>
      <c r="E121" s="134">
        <v>0</v>
      </c>
      <c r="F121" s="135">
        <v>0</v>
      </c>
      <c r="J121" s="114"/>
    </row>
    <row r="122" spans="2:11" x14ac:dyDescent="0.25">
      <c r="B122" s="140" t="s">
        <v>123</v>
      </c>
      <c r="C122" s="134">
        <v>0</v>
      </c>
      <c r="D122" s="134">
        <v>0</v>
      </c>
      <c r="E122" s="134">
        <v>0</v>
      </c>
      <c r="F122" s="135">
        <v>0</v>
      </c>
      <c r="J122" s="114"/>
    </row>
    <row r="123" spans="2:11" x14ac:dyDescent="0.25">
      <c r="B123" s="140" t="s">
        <v>124</v>
      </c>
      <c r="C123" s="146">
        <v>0</v>
      </c>
      <c r="D123" s="146">
        <v>0</v>
      </c>
      <c r="E123" s="146">
        <v>0</v>
      </c>
      <c r="F123" s="147">
        <v>0</v>
      </c>
      <c r="J123" s="114"/>
    </row>
    <row r="124" spans="2:11" x14ac:dyDescent="0.25">
      <c r="B124" s="130" t="s">
        <v>133</v>
      </c>
      <c r="C124" s="138">
        <v>8060000.0000000037</v>
      </c>
      <c r="D124" s="138">
        <v>0</v>
      </c>
      <c r="E124" s="138">
        <v>0</v>
      </c>
      <c r="F124" s="139">
        <v>0</v>
      </c>
      <c r="J124" s="114"/>
    </row>
    <row r="125" spans="2:11" x14ac:dyDescent="0.25">
      <c r="B125" s="141" t="s">
        <v>134</v>
      </c>
      <c r="C125" s="142">
        <v>0</v>
      </c>
      <c r="D125" s="142">
        <v>0</v>
      </c>
      <c r="E125" s="142">
        <v>0</v>
      </c>
      <c r="F125" s="143">
        <v>0</v>
      </c>
      <c r="J125" s="114"/>
    </row>
    <row r="126" spans="2:11" ht="16.5" thickBot="1" x14ac:dyDescent="0.3">
      <c r="B126" s="148" t="s">
        <v>135</v>
      </c>
      <c r="C126" s="149">
        <v>136000</v>
      </c>
      <c r="D126" s="149">
        <f>D104</f>
        <v>50785593.000000015</v>
      </c>
      <c r="E126" s="149">
        <f>E104</f>
        <v>69990848.99999997</v>
      </c>
      <c r="F126" s="150">
        <f>F104</f>
        <v>68856849.00000003</v>
      </c>
      <c r="J126" s="114"/>
    </row>
    <row r="127" spans="2:11" x14ac:dyDescent="0.25">
      <c r="K127" s="114"/>
    </row>
    <row r="128" spans="2:11" x14ac:dyDescent="0.25">
      <c r="K128" s="114"/>
    </row>
    <row r="129" spans="2:14" x14ac:dyDescent="0.25">
      <c r="C129" s="198" t="e">
        <f>C136/C135</f>
        <v>#DIV/0!</v>
      </c>
      <c r="D129" s="198">
        <f t="shared" ref="D129:F129" si="37">D136/D135</f>
        <v>0.34950056534128865</v>
      </c>
      <c r="E129" s="198">
        <f t="shared" si="37"/>
        <v>0.34949965745560679</v>
      </c>
      <c r="F129" s="198">
        <f t="shared" si="37"/>
        <v>0.34949946597635811</v>
      </c>
      <c r="K129" s="114"/>
    </row>
    <row r="130" spans="2:14" x14ac:dyDescent="0.25">
      <c r="K130" s="114"/>
    </row>
    <row r="131" spans="2:14" ht="16.5" thickBot="1" x14ac:dyDescent="0.3">
      <c r="B131" s="120" t="s">
        <v>158</v>
      </c>
      <c r="N131" s="114"/>
    </row>
    <row r="132" spans="2:14" x14ac:dyDescent="0.25">
      <c r="B132" s="206" t="s">
        <v>136</v>
      </c>
      <c r="C132" s="203">
        <v>2022</v>
      </c>
      <c r="D132" s="203">
        <v>2023</v>
      </c>
      <c r="E132" s="203">
        <v>2024</v>
      </c>
      <c r="F132" s="203">
        <v>2025</v>
      </c>
      <c r="G132" s="201" t="s">
        <v>137</v>
      </c>
      <c r="I132" s="120"/>
      <c r="N132" s="114"/>
    </row>
    <row r="133" spans="2:14" x14ac:dyDescent="0.25">
      <c r="B133" s="207"/>
      <c r="C133" s="204"/>
      <c r="D133" s="204"/>
      <c r="E133" s="204"/>
      <c r="F133" s="204"/>
      <c r="G133" s="202"/>
      <c r="I133" s="121"/>
    </row>
    <row r="134" spans="2:14" x14ac:dyDescent="0.25">
      <c r="B134" s="151" t="s">
        <v>138</v>
      </c>
      <c r="C134" s="163">
        <f>SUM(C135:C137)</f>
        <v>0</v>
      </c>
      <c r="D134" s="163">
        <f t="shared" ref="D134:E134" si="38">SUM(D135:D137)</f>
        <v>771593</v>
      </c>
      <c r="E134" s="163">
        <f t="shared" si="38"/>
        <v>816849</v>
      </c>
      <c r="F134" s="163">
        <f t="shared" ref="F134" si="39">SUM(F135:F137)</f>
        <v>852849</v>
      </c>
      <c r="G134" s="152"/>
      <c r="I134" s="121"/>
    </row>
    <row r="135" spans="2:14" ht="31.5" x14ac:dyDescent="0.25">
      <c r="B135" s="170" t="s">
        <v>147</v>
      </c>
      <c r="C135" s="164">
        <v>0</v>
      </c>
      <c r="D135" s="164">
        <v>501467</v>
      </c>
      <c r="E135" s="164">
        <v>526939</v>
      </c>
      <c r="F135" s="164">
        <v>552410</v>
      </c>
      <c r="G135" s="153" t="s">
        <v>139</v>
      </c>
      <c r="I135" s="121"/>
    </row>
    <row r="136" spans="2:14" x14ac:dyDescent="0.25">
      <c r="B136" s="170" t="s">
        <v>148</v>
      </c>
      <c r="C136" s="164">
        <v>0</v>
      </c>
      <c r="D136" s="164">
        <v>175263</v>
      </c>
      <c r="E136" s="164">
        <v>184165</v>
      </c>
      <c r="F136" s="164">
        <v>193067</v>
      </c>
      <c r="G136" s="160"/>
    </row>
    <row r="137" spans="2:14" ht="47.25" x14ac:dyDescent="0.25">
      <c r="B137" s="170" t="s">
        <v>174</v>
      </c>
      <c r="C137" s="164">
        <v>0</v>
      </c>
      <c r="D137" s="164">
        <v>94863</v>
      </c>
      <c r="E137" s="164">
        <v>105745</v>
      </c>
      <c r="F137" s="164">
        <v>107372</v>
      </c>
      <c r="G137" s="160" t="s">
        <v>140</v>
      </c>
      <c r="I137" s="120"/>
    </row>
    <row r="138" spans="2:14" x14ac:dyDescent="0.25">
      <c r="B138" s="151" t="s">
        <v>141</v>
      </c>
      <c r="C138" s="163">
        <f>C139</f>
        <v>136000</v>
      </c>
      <c r="D138" s="163">
        <f t="shared" ref="D138:F138" si="40">D139</f>
        <v>24000</v>
      </c>
      <c r="E138" s="163">
        <f t="shared" si="40"/>
        <v>24000</v>
      </c>
      <c r="F138" s="163">
        <f t="shared" si="40"/>
        <v>24000</v>
      </c>
      <c r="G138" s="161"/>
      <c r="I138" s="121"/>
    </row>
    <row r="139" spans="2:14" ht="31.5" x14ac:dyDescent="0.25">
      <c r="B139" s="170" t="s">
        <v>142</v>
      </c>
      <c r="C139" s="164">
        <v>136000</v>
      </c>
      <c r="D139" s="164">
        <v>24000</v>
      </c>
      <c r="E139" s="164">
        <v>24000</v>
      </c>
      <c r="F139" s="164">
        <v>24000</v>
      </c>
      <c r="G139" s="153" t="s">
        <v>151</v>
      </c>
      <c r="I139" s="121"/>
    </row>
    <row r="140" spans="2:14" ht="16.5" thickBot="1" x14ac:dyDescent="0.3">
      <c r="B140" s="154" t="s">
        <v>143</v>
      </c>
      <c r="C140" s="169">
        <f>C134+C138</f>
        <v>136000</v>
      </c>
      <c r="D140" s="169">
        <f>D134+D138</f>
        <v>795593</v>
      </c>
      <c r="E140" s="169">
        <f>E134+E138</f>
        <v>840849</v>
      </c>
      <c r="F140" s="169">
        <f>F134+F138</f>
        <v>876849</v>
      </c>
      <c r="G140" s="162"/>
      <c r="I140" s="121"/>
    </row>
    <row r="141" spans="2:14" x14ac:dyDescent="0.25">
      <c r="I141" s="121"/>
    </row>
    <row r="142" spans="2:14" x14ac:dyDescent="0.25">
      <c r="H142" s="122"/>
      <c r="I142" s="123"/>
    </row>
    <row r="143" spans="2:14" x14ac:dyDescent="0.25">
      <c r="H143" s="122"/>
      <c r="I143" s="123"/>
    </row>
    <row r="144" spans="2:14" x14ac:dyDescent="0.25">
      <c r="H144" s="122"/>
      <c r="I144" s="123"/>
    </row>
    <row r="145" spans="2:10" ht="16.5" thickBot="1" x14ac:dyDescent="0.3">
      <c r="B145" s="205" t="s">
        <v>156</v>
      </c>
      <c r="C145" s="205"/>
      <c r="D145" s="205"/>
      <c r="E145" s="205"/>
      <c r="F145" s="205"/>
      <c r="H145" s="122"/>
      <c r="I145" s="123"/>
    </row>
    <row r="146" spans="2:10" x14ac:dyDescent="0.25">
      <c r="B146" s="206" t="s">
        <v>136</v>
      </c>
      <c r="C146" s="203">
        <v>2022</v>
      </c>
      <c r="D146" s="203">
        <v>2023</v>
      </c>
      <c r="E146" s="203">
        <v>2024</v>
      </c>
      <c r="F146" s="203">
        <v>2025</v>
      </c>
      <c r="G146" s="201" t="s">
        <v>137</v>
      </c>
      <c r="I146" s="122"/>
      <c r="J146" s="123"/>
    </row>
    <row r="147" spans="2:10" x14ac:dyDescent="0.25">
      <c r="B147" s="207"/>
      <c r="C147" s="204"/>
      <c r="D147" s="204"/>
      <c r="E147" s="204"/>
      <c r="F147" s="204"/>
      <c r="G147" s="202"/>
      <c r="I147" s="122"/>
      <c r="J147" s="123"/>
    </row>
    <row r="148" spans="2:10" x14ac:dyDescent="0.25">
      <c r="B148" s="151" t="s">
        <v>138</v>
      </c>
      <c r="C148" s="199">
        <f>SUM(C149:C151)</f>
        <v>8060000.0000000037</v>
      </c>
      <c r="D148" s="199">
        <f t="shared" ref="D148:F148" si="41">SUM(D149:D151)</f>
        <v>49990000.000000015</v>
      </c>
      <c r="E148" s="199">
        <f t="shared" si="41"/>
        <v>69149999.99999997</v>
      </c>
      <c r="F148" s="199">
        <f t="shared" si="41"/>
        <v>67980000.00000003</v>
      </c>
      <c r="G148" s="152"/>
      <c r="I148" s="122"/>
      <c r="J148" s="123"/>
    </row>
    <row r="149" spans="2:10" ht="31.5" x14ac:dyDescent="0.25">
      <c r="B149" s="170" t="s">
        <v>176</v>
      </c>
      <c r="C149" s="200">
        <v>-29119999.999999996</v>
      </c>
      <c r="D149" s="200">
        <v>-114719999.99999999</v>
      </c>
      <c r="E149" s="200">
        <v>-176180000</v>
      </c>
      <c r="F149" s="200">
        <v>-229519999.99999997</v>
      </c>
      <c r="G149" s="218"/>
      <c r="H149" s="180"/>
      <c r="I149" s="122"/>
      <c r="J149" s="123"/>
    </row>
    <row r="150" spans="2:10" x14ac:dyDescent="0.25">
      <c r="B150" s="170" t="s">
        <v>175</v>
      </c>
      <c r="C150" s="200">
        <v>18720000</v>
      </c>
      <c r="D150" s="200">
        <v>128600000</v>
      </c>
      <c r="E150" s="200">
        <v>192399999.99999997</v>
      </c>
      <c r="F150" s="200">
        <v>228600000</v>
      </c>
      <c r="G150" s="218"/>
      <c r="H150" s="180"/>
      <c r="I150" s="122"/>
      <c r="J150" s="123"/>
    </row>
    <row r="151" spans="2:10" x14ac:dyDescent="0.25">
      <c r="B151" s="170" t="s">
        <v>177</v>
      </c>
      <c r="C151" s="200">
        <v>18460000</v>
      </c>
      <c r="D151" s="200">
        <v>36110000</v>
      </c>
      <c r="E151" s="200">
        <v>52930000</v>
      </c>
      <c r="F151" s="200">
        <v>68900000</v>
      </c>
      <c r="G151" s="218" t="s">
        <v>178</v>
      </c>
      <c r="H151" s="180"/>
      <c r="I151" s="122"/>
      <c r="J151" s="123"/>
    </row>
    <row r="152" spans="2:10" x14ac:dyDescent="0.25">
      <c r="B152" s="151" t="s">
        <v>141</v>
      </c>
      <c r="C152" s="199">
        <v>0</v>
      </c>
      <c r="D152" s="199">
        <v>0</v>
      </c>
      <c r="E152" s="199">
        <v>0</v>
      </c>
      <c r="F152" s="199">
        <v>0</v>
      </c>
      <c r="G152" s="161"/>
      <c r="I152" s="122"/>
      <c r="J152" s="123"/>
    </row>
    <row r="153" spans="2:10" ht="15.75" customHeight="1" thickBot="1" x14ac:dyDescent="0.3">
      <c r="B153" s="154" t="s">
        <v>143</v>
      </c>
      <c r="C153" s="169">
        <f>C148+C152</f>
        <v>8060000.0000000037</v>
      </c>
      <c r="D153" s="169">
        <f t="shared" ref="D153:E153" si="42">D148+D152</f>
        <v>49990000.000000015</v>
      </c>
      <c r="E153" s="169">
        <f t="shared" si="42"/>
        <v>69149999.99999997</v>
      </c>
      <c r="F153" s="169">
        <f t="shared" ref="F153" si="43">F148+F152</f>
        <v>67980000.00000003</v>
      </c>
      <c r="G153" s="162"/>
      <c r="I153" s="122"/>
      <c r="J153" s="123"/>
    </row>
    <row r="154" spans="2:10" x14ac:dyDescent="0.25">
      <c r="B154" s="1" t="s">
        <v>159</v>
      </c>
      <c r="H154" s="122"/>
      <c r="I154" s="123"/>
    </row>
    <row r="155" spans="2:10" x14ac:dyDescent="0.25">
      <c r="H155" s="122"/>
      <c r="I155" s="123"/>
    </row>
    <row r="156" spans="2:10" x14ac:dyDescent="0.25">
      <c r="H156" s="122"/>
      <c r="I156" s="123"/>
    </row>
    <row r="157" spans="2:10" x14ac:dyDescent="0.25">
      <c r="H157" s="122"/>
      <c r="I157" s="123"/>
    </row>
    <row r="158" spans="2:10" x14ac:dyDescent="0.25">
      <c r="H158" s="122"/>
      <c r="I158" s="123"/>
    </row>
    <row r="159" spans="2:10" x14ac:dyDescent="0.25">
      <c r="H159" s="122"/>
      <c r="I159" s="121"/>
    </row>
    <row r="160" spans="2:10" ht="16.5" thickBot="1" x14ac:dyDescent="0.3">
      <c r="B160" s="205" t="s">
        <v>150</v>
      </c>
      <c r="C160" s="205"/>
      <c r="D160" s="205"/>
      <c r="E160" s="205"/>
      <c r="F160" s="205"/>
      <c r="H160" s="122"/>
      <c r="I160" s="121"/>
    </row>
    <row r="161" spans="2:10" x14ac:dyDescent="0.25">
      <c r="B161" s="155" t="s">
        <v>155</v>
      </c>
      <c r="C161" s="156">
        <v>2022</v>
      </c>
      <c r="D161" s="156">
        <v>2023</v>
      </c>
      <c r="E161" s="156">
        <v>2024</v>
      </c>
      <c r="F161" s="189">
        <v>2025</v>
      </c>
      <c r="G161" s="122"/>
      <c r="H161" s="121"/>
    </row>
    <row r="162" spans="2:10" x14ac:dyDescent="0.25">
      <c r="B162" s="157" t="s">
        <v>144</v>
      </c>
      <c r="C162" s="165">
        <f>C8</f>
        <v>0</v>
      </c>
      <c r="D162" s="165">
        <f>D8</f>
        <v>18</v>
      </c>
      <c r="E162" s="165">
        <f>E8</f>
        <v>18</v>
      </c>
      <c r="F162" s="190">
        <f>F8</f>
        <v>18</v>
      </c>
    </row>
    <row r="163" spans="2:10" x14ac:dyDescent="0.25">
      <c r="B163" s="173" t="s">
        <v>154</v>
      </c>
      <c r="C163" s="165">
        <f>C162</f>
        <v>0</v>
      </c>
      <c r="D163" s="165">
        <f>D162</f>
        <v>18</v>
      </c>
      <c r="E163" s="165">
        <f>E162</f>
        <v>18</v>
      </c>
      <c r="F163" s="190">
        <f>F162</f>
        <v>18</v>
      </c>
      <c r="I163" s="121"/>
      <c r="J163" s="121"/>
    </row>
    <row r="164" spans="2:10" x14ac:dyDescent="0.25">
      <c r="B164" s="158" t="s">
        <v>145</v>
      </c>
      <c r="C164" s="165">
        <v>0</v>
      </c>
      <c r="D164" s="165">
        <f>SUM(D165:D166)</f>
        <v>2321.6080555555559</v>
      </c>
      <c r="E164" s="165">
        <f>SUM(E165:E166)</f>
        <v>2439.5310092592595</v>
      </c>
      <c r="F164" s="190">
        <f>SUM(F165:F166)</f>
        <v>2557.4539120370373</v>
      </c>
      <c r="I164" s="121"/>
      <c r="J164" s="121"/>
    </row>
    <row r="165" spans="2:10" ht="15" customHeight="1" x14ac:dyDescent="0.25">
      <c r="B165" s="173" t="s">
        <v>152</v>
      </c>
      <c r="C165" s="167">
        <v>0</v>
      </c>
      <c r="D165" s="167">
        <f>D25/D6/12</f>
        <v>2110.5527777777779</v>
      </c>
      <c r="E165" s="167">
        <f>E25/E6/12</f>
        <v>2217.7554629629631</v>
      </c>
      <c r="F165" s="191">
        <f>F25/F6/12</f>
        <v>2324.958101851852</v>
      </c>
      <c r="I165" s="121"/>
      <c r="J165" s="121"/>
    </row>
    <row r="166" spans="2:10" x14ac:dyDescent="0.25">
      <c r="B166" s="173" t="s">
        <v>153</v>
      </c>
      <c r="C166" s="167">
        <f>C165*$H$4</f>
        <v>0</v>
      </c>
      <c r="D166" s="167">
        <f>D165*$H$4</f>
        <v>211.0552777777778</v>
      </c>
      <c r="E166" s="167">
        <f>E165*$H$4</f>
        <v>221.77554629629631</v>
      </c>
      <c r="F166" s="191">
        <f>F165*$H$4</f>
        <v>232.49581018518521</v>
      </c>
    </row>
    <row r="167" spans="2:10" x14ac:dyDescent="0.25">
      <c r="B167" s="159" t="s">
        <v>146</v>
      </c>
      <c r="C167" s="166">
        <f>C90</f>
        <v>0</v>
      </c>
      <c r="D167" s="166">
        <f>D90</f>
        <v>676730.17</v>
      </c>
      <c r="E167" s="166">
        <f>E90</f>
        <v>711103.77</v>
      </c>
      <c r="F167" s="192">
        <f>F90</f>
        <v>745477.3600000001</v>
      </c>
    </row>
    <row r="168" spans="2:10" ht="31.5" x14ac:dyDescent="0.25">
      <c r="B168" s="157" t="s">
        <v>147</v>
      </c>
      <c r="C168" s="165">
        <f>C88</f>
        <v>0</v>
      </c>
      <c r="D168" s="165">
        <f>D88</f>
        <v>501467.34</v>
      </c>
      <c r="E168" s="165">
        <f>E88</f>
        <v>526938.69999999995</v>
      </c>
      <c r="F168" s="190">
        <f>F88</f>
        <v>552410.05000000005</v>
      </c>
    </row>
    <row r="169" spans="2:10" x14ac:dyDescent="0.25">
      <c r="B169" s="171" t="s">
        <v>154</v>
      </c>
      <c r="C169" s="167">
        <f>C168</f>
        <v>0</v>
      </c>
      <c r="D169" s="167">
        <f t="shared" ref="D169:E169" si="44">D168</f>
        <v>501467.34</v>
      </c>
      <c r="E169" s="167">
        <f t="shared" si="44"/>
        <v>526938.69999999995</v>
      </c>
      <c r="F169" s="191">
        <f t="shared" ref="F169" si="45">F168</f>
        <v>552410.05000000005</v>
      </c>
    </row>
    <row r="170" spans="2:10" x14ac:dyDescent="0.25">
      <c r="B170" s="158" t="s">
        <v>148</v>
      </c>
      <c r="C170" s="165">
        <f>C89</f>
        <v>0</v>
      </c>
      <c r="D170" s="165">
        <f>D89</f>
        <v>175262.83000000002</v>
      </c>
      <c r="E170" s="165">
        <f>E89</f>
        <v>184165.07</v>
      </c>
      <c r="F170" s="190">
        <f>F89</f>
        <v>193067.31</v>
      </c>
    </row>
    <row r="171" spans="2:10" ht="16.5" thickBot="1" x14ac:dyDescent="0.3">
      <c r="B171" s="172" t="s">
        <v>154</v>
      </c>
      <c r="C171" s="168">
        <f>C170</f>
        <v>0</v>
      </c>
      <c r="D171" s="168">
        <f t="shared" ref="D171:E171" si="46">D170</f>
        <v>175262.83000000002</v>
      </c>
      <c r="E171" s="168">
        <f t="shared" si="46"/>
        <v>184165.07</v>
      </c>
      <c r="F171" s="193">
        <f t="shared" ref="F171" si="47">F170</f>
        <v>193067.31</v>
      </c>
    </row>
    <row r="172" spans="2:10" x14ac:dyDescent="0.25">
      <c r="G172" s="122"/>
    </row>
    <row r="173" spans="2:10" x14ac:dyDescent="0.25">
      <c r="G173" s="122"/>
      <c r="J173" s="122"/>
    </row>
    <row r="174" spans="2:10" x14ac:dyDescent="0.25">
      <c r="G174" s="122"/>
      <c r="J174" s="122"/>
    </row>
    <row r="175" spans="2:10" x14ac:dyDescent="0.25">
      <c r="G175" s="122"/>
      <c r="J175" s="122"/>
    </row>
    <row r="176" spans="2:10" x14ac:dyDescent="0.25">
      <c r="G176" s="122"/>
      <c r="H176" s="122"/>
      <c r="I176" s="121"/>
      <c r="J176" s="122"/>
    </row>
    <row r="177" spans="7:10" x14ac:dyDescent="0.25">
      <c r="G177" s="122"/>
      <c r="H177" s="122"/>
      <c r="I177" s="121"/>
      <c r="J177" s="122"/>
    </row>
    <row r="178" spans="7:10" x14ac:dyDescent="0.25">
      <c r="G178" s="122"/>
      <c r="H178" s="122"/>
      <c r="I178" s="122"/>
      <c r="J178" s="122"/>
    </row>
    <row r="179" spans="7:10" x14ac:dyDescent="0.25">
      <c r="G179" s="122"/>
      <c r="H179" s="122"/>
      <c r="I179" s="122"/>
      <c r="J179" s="122"/>
    </row>
    <row r="180" spans="7:10" x14ac:dyDescent="0.25">
      <c r="G180" s="122"/>
      <c r="H180" s="122"/>
      <c r="I180" s="122"/>
      <c r="J180" s="122"/>
    </row>
    <row r="181" spans="7:10" x14ac:dyDescent="0.25">
      <c r="G181" s="122"/>
      <c r="H181" s="122"/>
      <c r="I181" s="122"/>
      <c r="J181" s="122"/>
    </row>
    <row r="182" spans="7:10" x14ac:dyDescent="0.25">
      <c r="G182" s="122"/>
      <c r="H182" s="122"/>
      <c r="I182" s="122"/>
      <c r="J182" s="122"/>
    </row>
    <row r="183" spans="7:10" x14ac:dyDescent="0.25">
      <c r="G183" s="122"/>
      <c r="H183" s="122"/>
      <c r="I183" s="122"/>
      <c r="J183" s="122"/>
    </row>
    <row r="184" spans="7:10" x14ac:dyDescent="0.25">
      <c r="G184" s="122"/>
      <c r="H184" s="122"/>
      <c r="I184" s="122"/>
      <c r="J184" s="122"/>
    </row>
    <row r="185" spans="7:10" x14ac:dyDescent="0.25">
      <c r="G185" s="122"/>
      <c r="H185" s="122"/>
      <c r="I185" s="122"/>
      <c r="J185" s="122"/>
    </row>
    <row r="186" spans="7:10" x14ac:dyDescent="0.25">
      <c r="G186" s="122"/>
      <c r="H186" s="122"/>
      <c r="I186" s="122"/>
      <c r="J186" s="122"/>
    </row>
    <row r="187" spans="7:10" x14ac:dyDescent="0.25">
      <c r="G187" s="122"/>
      <c r="H187" s="122"/>
      <c r="I187" s="122"/>
      <c r="J187" s="122"/>
    </row>
    <row r="188" spans="7:10" x14ac:dyDescent="0.25">
      <c r="G188" s="122"/>
      <c r="H188" s="122"/>
      <c r="I188" s="122"/>
      <c r="J188" s="122"/>
    </row>
    <row r="189" spans="7:10" x14ac:dyDescent="0.25">
      <c r="G189" s="122"/>
      <c r="H189" s="122"/>
      <c r="I189" s="122"/>
      <c r="J189" s="122"/>
    </row>
    <row r="190" spans="7:10" x14ac:dyDescent="0.25">
      <c r="G190" s="122"/>
      <c r="H190" s="122"/>
      <c r="I190" s="122"/>
      <c r="J190" s="122"/>
    </row>
    <row r="191" spans="7:10" x14ac:dyDescent="0.25">
      <c r="G191" s="122"/>
      <c r="H191" s="122"/>
      <c r="I191" s="122"/>
      <c r="J191" s="122"/>
    </row>
    <row r="192" spans="7:10" x14ac:dyDescent="0.25">
      <c r="G192" s="122"/>
      <c r="H192" s="122"/>
      <c r="I192" s="122"/>
      <c r="J192" s="122"/>
    </row>
    <row r="193" spans="1:10" x14ac:dyDescent="0.25">
      <c r="G193" s="122"/>
      <c r="H193" s="122"/>
      <c r="I193" s="122"/>
      <c r="J193" s="122"/>
    </row>
    <row r="194" spans="1:10" x14ac:dyDescent="0.25">
      <c r="A194" s="122"/>
      <c r="G194" s="122"/>
      <c r="H194" s="122"/>
      <c r="I194" s="122"/>
      <c r="J194" s="122"/>
    </row>
    <row r="195" spans="1:10" x14ac:dyDescent="0.25">
      <c r="A195" s="122"/>
      <c r="G195" s="122"/>
      <c r="H195" s="122"/>
      <c r="I195" s="122"/>
      <c r="J195" s="122"/>
    </row>
    <row r="196" spans="1:10" x14ac:dyDescent="0.25">
      <c r="A196" s="122"/>
      <c r="G196" s="122"/>
      <c r="H196" s="122"/>
      <c r="I196" s="122"/>
      <c r="J196" s="122"/>
    </row>
    <row r="197" spans="1:10" x14ac:dyDescent="0.25">
      <c r="A197" s="122"/>
      <c r="G197" s="122"/>
      <c r="H197" s="122"/>
      <c r="I197" s="122"/>
      <c r="J197" s="122"/>
    </row>
    <row r="198" spans="1:10" x14ac:dyDescent="0.25">
      <c r="A198" s="122"/>
      <c r="G198" s="122"/>
      <c r="H198" s="122"/>
      <c r="I198" s="122"/>
      <c r="J198" s="122"/>
    </row>
    <row r="199" spans="1:10" x14ac:dyDescent="0.25">
      <c r="A199" s="122"/>
      <c r="G199" s="122"/>
      <c r="H199" s="122"/>
      <c r="I199" s="122"/>
      <c r="J199" s="122"/>
    </row>
    <row r="200" spans="1:10" x14ac:dyDescent="0.25">
      <c r="A200" s="122"/>
      <c r="G200" s="122"/>
      <c r="H200" s="122"/>
      <c r="I200" s="122"/>
      <c r="J200" s="122"/>
    </row>
    <row r="201" spans="1:10" x14ac:dyDescent="0.25">
      <c r="A201" s="122"/>
      <c r="G201" s="122"/>
      <c r="H201" s="122"/>
      <c r="I201" s="122"/>
      <c r="J201" s="122"/>
    </row>
    <row r="202" spans="1:10" x14ac:dyDescent="0.25">
      <c r="A202" s="122"/>
      <c r="G202" s="122"/>
      <c r="H202" s="122"/>
      <c r="I202" s="122"/>
      <c r="J202" s="122"/>
    </row>
    <row r="203" spans="1:10" x14ac:dyDescent="0.25">
      <c r="A203" s="122"/>
      <c r="G203" s="122"/>
      <c r="H203" s="122"/>
      <c r="I203" s="122"/>
      <c r="J203" s="122"/>
    </row>
    <row r="204" spans="1:10" x14ac:dyDescent="0.25">
      <c r="A204" s="122"/>
      <c r="G204" s="122"/>
      <c r="H204" s="122"/>
      <c r="I204" s="122"/>
      <c r="J204" s="122"/>
    </row>
    <row r="205" spans="1:10" x14ac:dyDescent="0.25">
      <c r="A205" s="122"/>
      <c r="G205" s="122"/>
      <c r="H205" s="122"/>
      <c r="I205" s="122"/>
      <c r="J205" s="122"/>
    </row>
    <row r="206" spans="1:10" x14ac:dyDescent="0.25">
      <c r="A206" s="122"/>
      <c r="G206" s="122"/>
      <c r="H206" s="122"/>
      <c r="I206" s="122"/>
      <c r="J206" s="122"/>
    </row>
    <row r="207" spans="1:10" x14ac:dyDescent="0.25">
      <c r="A207" s="122"/>
      <c r="G207" s="122"/>
      <c r="H207" s="122"/>
      <c r="I207" s="122"/>
      <c r="J207" s="122"/>
    </row>
    <row r="208" spans="1:10" x14ac:dyDescent="0.25">
      <c r="A208" s="122"/>
      <c r="G208" s="122"/>
      <c r="H208" s="122"/>
      <c r="I208" s="122"/>
      <c r="J208" s="122"/>
    </row>
    <row r="209" spans="1:11" x14ac:dyDescent="0.25">
      <c r="A209" s="122"/>
      <c r="G209" s="122"/>
      <c r="H209" s="122"/>
      <c r="I209" s="122"/>
      <c r="J209" s="122"/>
    </row>
    <row r="210" spans="1:11" x14ac:dyDescent="0.25">
      <c r="A210" s="122"/>
      <c r="G210" s="122"/>
      <c r="H210" s="122"/>
      <c r="I210" s="122"/>
      <c r="J210" s="122"/>
    </row>
    <row r="211" spans="1:11" x14ac:dyDescent="0.25">
      <c r="A211" s="122"/>
      <c r="G211" s="122"/>
      <c r="H211" s="124"/>
      <c r="I211" s="122"/>
      <c r="J211" s="122"/>
    </row>
    <row r="212" spans="1:11" x14ac:dyDescent="0.25">
      <c r="G212" s="26"/>
      <c r="H212" s="26"/>
      <c r="I212" s="26"/>
    </row>
    <row r="213" spans="1:11" x14ac:dyDescent="0.25">
      <c r="G213" s="26"/>
      <c r="H213" s="26"/>
      <c r="I213" s="26"/>
      <c r="J213" s="125"/>
    </row>
    <row r="214" spans="1:11" x14ac:dyDescent="0.25">
      <c r="G214" s="26"/>
      <c r="H214" s="26"/>
      <c r="I214" s="26"/>
      <c r="J214" s="125"/>
    </row>
    <row r="215" spans="1:11" x14ac:dyDescent="0.25">
      <c r="G215" s="26"/>
      <c r="H215" s="26"/>
      <c r="I215" s="26"/>
      <c r="J215" s="125"/>
    </row>
    <row r="216" spans="1:11" x14ac:dyDescent="0.25">
      <c r="G216" s="26"/>
      <c r="H216" s="26"/>
      <c r="I216" s="26"/>
    </row>
    <row r="217" spans="1:11" x14ac:dyDescent="0.25">
      <c r="G217" s="26"/>
      <c r="H217" s="26"/>
      <c r="I217" s="26"/>
    </row>
    <row r="218" spans="1:11" x14ac:dyDescent="0.25">
      <c r="G218" s="26"/>
      <c r="H218" s="26"/>
      <c r="I218" s="26"/>
      <c r="J218" s="120"/>
      <c r="K218" s="120"/>
    </row>
    <row r="219" spans="1:11" x14ac:dyDescent="0.25">
      <c r="G219" s="26"/>
      <c r="H219" s="26"/>
      <c r="I219" s="26"/>
      <c r="J219" s="126"/>
      <c r="K219" s="126"/>
    </row>
    <row r="220" spans="1:11" x14ac:dyDescent="0.25">
      <c r="G220" s="26"/>
      <c r="H220" s="26"/>
      <c r="I220" s="26"/>
      <c r="J220" s="126"/>
      <c r="K220" s="126"/>
    </row>
    <row r="221" spans="1:11" x14ac:dyDescent="0.25">
      <c r="H221" s="120"/>
      <c r="I221" s="127"/>
      <c r="J221" s="127"/>
      <c r="K221" s="127"/>
    </row>
  </sheetData>
  <mergeCells count="20">
    <mergeCell ref="B145:F145"/>
    <mergeCell ref="D132:D133"/>
    <mergeCell ref="E132:E133"/>
    <mergeCell ref="B2:E2"/>
    <mergeCell ref="J26:J27"/>
    <mergeCell ref="A70:B70"/>
    <mergeCell ref="A87:B87"/>
    <mergeCell ref="B132:B133"/>
    <mergeCell ref="G132:G133"/>
    <mergeCell ref="C94:F94"/>
    <mergeCell ref="B94:B95"/>
    <mergeCell ref="C132:C133"/>
    <mergeCell ref="F132:F133"/>
    <mergeCell ref="G146:G147"/>
    <mergeCell ref="F146:F147"/>
    <mergeCell ref="B160:F160"/>
    <mergeCell ref="B146:B147"/>
    <mergeCell ref="C146:C147"/>
    <mergeCell ref="D146:D147"/>
    <mergeCell ref="E146:E147"/>
  </mergeCells>
  <pageMargins left="0.75" right="0.75" top="1" bottom="1" header="0.5" footer="0.5"/>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SFLP</vt:lpstr>
    </vt:vector>
  </TitlesOfParts>
  <Company>MZ 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Kozák Daniel</dc:creator>
  <cp:lastModifiedBy>Dutková Patrícia</cp:lastModifiedBy>
  <dcterms:created xsi:type="dcterms:W3CDTF">2021-07-29T12:38:11Z</dcterms:created>
  <dcterms:modified xsi:type="dcterms:W3CDTF">2022-04-05T17:36:54Z</dcterms:modified>
</cp:coreProperties>
</file>