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lakp\Documents\PROJECTS\2022-03 Dopad 363 vztiahnuty na 2021\"/>
    </mc:Choice>
  </mc:AlternateContent>
  <bookViews>
    <workbookView xWindow="0" yWindow="0" windowWidth="19200" windowHeight="6900" tabRatio="789"/>
  </bookViews>
  <sheets>
    <sheet name="Dopad total" sheetId="94" r:id="rId1"/>
    <sheet name="IGs" sheetId="88" r:id="rId2"/>
    <sheet name="LMWHs" sheetId="90" r:id="rId3"/>
  </sheets>
  <definedNames>
    <definedName name="vypocet" localSheetId="0">#REF!</definedName>
    <definedName name="vypoce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94" l="1"/>
  <c r="G12" i="94"/>
  <c r="F12" i="94"/>
  <c r="E12" i="94"/>
  <c r="D9" i="94" l="1"/>
  <c r="E9" i="94"/>
  <c r="F9" i="94"/>
  <c r="G9" i="94"/>
  <c r="H9" i="94"/>
  <c r="C9" i="94"/>
  <c r="D8" i="94"/>
  <c r="E8" i="94"/>
  <c r="E10" i="94" s="1"/>
  <c r="F8" i="94"/>
  <c r="F10" i="94" s="1"/>
  <c r="G8" i="94"/>
  <c r="H8" i="94"/>
  <c r="C8" i="94"/>
  <c r="H10" i="94" l="1"/>
  <c r="G10" i="94"/>
  <c r="C10" i="94"/>
  <c r="D10" i="94"/>
  <c r="D20" i="88" l="1"/>
  <c r="C58" i="90"/>
  <c r="K77" i="88"/>
  <c r="K78" i="88" s="1"/>
  <c r="L77" i="88"/>
  <c r="M77" i="88"/>
  <c r="N77" i="88"/>
  <c r="O77" i="88"/>
  <c r="P77" i="88"/>
  <c r="L76" i="88"/>
  <c r="M76" i="88"/>
  <c r="N76" i="88"/>
  <c r="O76" i="88"/>
  <c r="P76" i="88"/>
  <c r="K76" i="88"/>
  <c r="L66" i="88"/>
  <c r="K66" i="88"/>
  <c r="K67" i="88" s="1"/>
  <c r="L65" i="88"/>
  <c r="K65" i="88"/>
  <c r="L57" i="88"/>
  <c r="N56" i="88"/>
  <c r="N66" i="88" s="1"/>
  <c r="M56" i="88"/>
  <c r="M66" i="88" s="1"/>
  <c r="L45" i="88"/>
  <c r="M44" i="88"/>
  <c r="N44" i="88" s="1"/>
  <c r="B67" i="88"/>
  <c r="C66" i="88"/>
  <c r="B66" i="88"/>
  <c r="B65" i="88"/>
  <c r="C65" i="88"/>
  <c r="C67" i="88" s="1"/>
  <c r="E56" i="88"/>
  <c r="E66" i="88" s="1"/>
  <c r="D56" i="88"/>
  <c r="D57" i="88" s="1"/>
  <c r="C57" i="88"/>
  <c r="D44" i="88"/>
  <c r="D45" i="88" s="1"/>
  <c r="C45" i="88"/>
  <c r="L78" i="88" l="1"/>
  <c r="D66" i="88"/>
  <c r="E44" i="88"/>
  <c r="L67" i="88"/>
  <c r="D65" i="88"/>
  <c r="M57" i="88"/>
  <c r="N57" i="88"/>
  <c r="M45" i="88"/>
  <c r="M65" i="88"/>
  <c r="M67" i="88" s="1"/>
  <c r="M78" i="88" s="1"/>
  <c r="O44" i="88"/>
  <c r="N65" i="88"/>
  <c r="N45" i="88"/>
  <c r="N67" i="88"/>
  <c r="N78" i="88" s="1"/>
  <c r="O56" i="88"/>
  <c r="F56" i="88"/>
  <c r="E57" i="88"/>
  <c r="G56" i="88" l="1"/>
  <c r="F66" i="88"/>
  <c r="F44" i="88"/>
  <c r="E65" i="88"/>
  <c r="E67" i="88" s="1"/>
  <c r="D67" i="88"/>
  <c r="E45" i="88"/>
  <c r="O57" i="88"/>
  <c r="O66" i="88"/>
  <c r="P56" i="88"/>
  <c r="P44" i="88"/>
  <c r="O45" i="88"/>
  <c r="O65" i="88"/>
  <c r="F57" i="88"/>
  <c r="G44" i="88" l="1"/>
  <c r="F65" i="88"/>
  <c r="F67" i="88" s="1"/>
  <c r="F45" i="88"/>
  <c r="G57" i="88"/>
  <c r="G66" i="88"/>
  <c r="O67" i="88"/>
  <c r="O78" i="88" s="1"/>
  <c r="P65" i="88"/>
  <c r="P45" i="88"/>
  <c r="P57" i="88"/>
  <c r="P66" i="88"/>
  <c r="G45" i="88" l="1"/>
  <c r="G65" i="88"/>
  <c r="G67" i="88" s="1"/>
  <c r="P67" i="88"/>
  <c r="P78" i="88" s="1"/>
  <c r="C18" i="90" l="1"/>
  <c r="E18" i="90" s="1"/>
  <c r="B26" i="90"/>
  <c r="B27" i="90" s="1"/>
  <c r="B22" i="90"/>
  <c r="B23" i="90" s="1"/>
  <c r="B18" i="90"/>
  <c r="B19" i="90" s="1"/>
  <c r="B43" i="90" s="1"/>
  <c r="P6" i="90"/>
  <c r="I7" i="90"/>
  <c r="I9" i="90" s="1"/>
  <c r="K9" i="90" s="1"/>
  <c r="H7" i="90"/>
  <c r="G7" i="90"/>
  <c r="F7" i="90"/>
  <c r="E7" i="90"/>
  <c r="B15" i="88"/>
  <c r="C15" i="88"/>
  <c r="B16" i="88"/>
  <c r="C16" i="88"/>
  <c r="D32" i="88" s="1"/>
  <c r="D33" i="88" s="1"/>
  <c r="D16" i="88" s="1"/>
  <c r="E16" i="88" s="1"/>
  <c r="F16" i="88" s="1"/>
  <c r="G16" i="88" s="1"/>
  <c r="E20" i="88"/>
  <c r="D21" i="88"/>
  <c r="E21" i="88" s="1"/>
  <c r="F21" i="88" s="1"/>
  <c r="G21" i="88" s="1"/>
  <c r="B22" i="88"/>
  <c r="C22" i="88"/>
  <c r="B54" i="90" l="1"/>
  <c r="B67" i="90" s="1"/>
  <c r="B68" i="90" s="1"/>
  <c r="B66" i="90"/>
  <c r="C22" i="90"/>
  <c r="C26" i="90" s="1"/>
  <c r="C27" i="90" s="1"/>
  <c r="C28" i="90" s="1"/>
  <c r="D22" i="90"/>
  <c r="D18" i="90"/>
  <c r="D19" i="90" s="1"/>
  <c r="C19" i="90"/>
  <c r="C43" i="90" s="1"/>
  <c r="C17" i="88"/>
  <c r="C24" i="88" s="1"/>
  <c r="D28" i="88"/>
  <c r="D29" i="88" s="1"/>
  <c r="D15" i="88" s="1"/>
  <c r="D17" i="88" s="1"/>
  <c r="B17" i="88"/>
  <c r="B24" i="88" s="1"/>
  <c r="F18" i="90"/>
  <c r="H8" i="90"/>
  <c r="I8" i="90"/>
  <c r="F8" i="90"/>
  <c r="G8" i="90"/>
  <c r="F20" i="88"/>
  <c r="E22" i="88"/>
  <c r="D22" i="88"/>
  <c r="C66" i="90" l="1"/>
  <c r="C54" i="90"/>
  <c r="D45" i="90"/>
  <c r="C46" i="90"/>
  <c r="C23" i="90"/>
  <c r="E15" i="88"/>
  <c r="F15" i="88" s="1"/>
  <c r="D24" i="88"/>
  <c r="D23" i="90"/>
  <c r="E22" i="90"/>
  <c r="E26" i="90" s="1"/>
  <c r="E27" i="90" s="1"/>
  <c r="E28" i="90" s="1"/>
  <c r="E19" i="90"/>
  <c r="D26" i="90"/>
  <c r="D27" i="90" s="1"/>
  <c r="D28" i="90" s="1"/>
  <c r="G20" i="88"/>
  <c r="G22" i="88" s="1"/>
  <c r="F22" i="88"/>
  <c r="D46" i="90" l="1"/>
  <c r="E45" i="90"/>
  <c r="D66" i="90"/>
  <c r="C67" i="90"/>
  <c r="C68" i="90" s="1"/>
  <c r="D57" i="90"/>
  <c r="E57" i="90"/>
  <c r="E17" i="88"/>
  <c r="E24" i="88" s="1"/>
  <c r="G18" i="90"/>
  <c r="F19" i="90"/>
  <c r="E23" i="90"/>
  <c r="F22" i="90"/>
  <c r="G15" i="88"/>
  <c r="G17" i="88" s="1"/>
  <c r="G24" i="88" s="1"/>
  <c r="F17" i="88"/>
  <c r="F24" i="88" s="1"/>
  <c r="E67" i="90" l="1"/>
  <c r="F57" i="90"/>
  <c r="E58" i="90"/>
  <c r="D67" i="90"/>
  <c r="D68" i="90" s="1"/>
  <c r="D58" i="90"/>
  <c r="E66" i="90"/>
  <c r="E46" i="90"/>
  <c r="F45" i="90"/>
  <c r="F23" i="90"/>
  <c r="G22" i="90"/>
  <c r="G23" i="90" s="1"/>
  <c r="G19" i="90"/>
  <c r="F26" i="90"/>
  <c r="F27" i="90" s="1"/>
  <c r="F28" i="90" s="1"/>
  <c r="F66" i="90" l="1"/>
  <c r="G45" i="90"/>
  <c r="F46" i="90"/>
  <c r="F58" i="90"/>
  <c r="G57" i="90"/>
  <c r="F67" i="90"/>
  <c r="E68" i="90"/>
  <c r="G26" i="90"/>
  <c r="G27" i="90" s="1"/>
  <c r="G28" i="90" s="1"/>
  <c r="G46" i="90" l="1"/>
  <c r="G66" i="90"/>
  <c r="F68" i="90"/>
  <c r="G58" i="90"/>
  <c r="G67" i="90"/>
  <c r="G68" i="90" l="1"/>
</calcChain>
</file>

<file path=xl/sharedStrings.xml><?xml version="1.0" encoding="utf-8"?>
<sst xmlns="http://schemas.openxmlformats.org/spreadsheetml/2006/main" count="175" uniqueCount="78">
  <si>
    <t>LMWH</t>
  </si>
  <si>
    <t>Imunoglobulíny</t>
  </si>
  <si>
    <t>Measure : EURO Sales (Thousands)</t>
  </si>
  <si>
    <t>EURO Sales
Q1/20</t>
  </si>
  <si>
    <t>EURO Sales
Q2/20</t>
  </si>
  <si>
    <t>EURO Sales
Q3/20</t>
  </si>
  <si>
    <t>EURO Sales
Q4/20</t>
  </si>
  <si>
    <t>EURO Sales
Q1/21</t>
  </si>
  <si>
    <t>EURO Sales
Q2/21</t>
  </si>
  <si>
    <t>EURO Sales
Q3/21</t>
  </si>
  <si>
    <t xml:space="preserve"> J06C0 POLYVAL IMMUNO-GLOBLN I.V</t>
  </si>
  <si>
    <t xml:space="preserve">   FLEBOGAMMA DIF</t>
  </si>
  <si>
    <t xml:space="preserve">   KIOVIG</t>
  </si>
  <si>
    <t xml:space="preserve">   PRIVIGEN</t>
  </si>
  <si>
    <t xml:space="preserve"> J06E0 POLYVAL IMMUNO-GLOBLN I.M</t>
  </si>
  <si>
    <t xml:space="preserve">   HYQVIA</t>
  </si>
  <si>
    <t xml:space="preserve">   CUVITRU</t>
  </si>
  <si>
    <t xml:space="preserve">   IGAMPLIA</t>
  </si>
  <si>
    <t xml:space="preserve">   HIZENTRA</t>
  </si>
  <si>
    <t>Dopad na rozpocet</t>
  </si>
  <si>
    <t>Súčet z Úhrada_ZP</t>
  </si>
  <si>
    <t>2019 Celková hodnota</t>
  </si>
  <si>
    <t>2020 Celková hodnota</t>
  </si>
  <si>
    <t>2021 Celková hodnota</t>
  </si>
  <si>
    <t>Označenia riadkov</t>
  </si>
  <si>
    <t>1Q</t>
  </si>
  <si>
    <t>2Q</t>
  </si>
  <si>
    <t>3Q</t>
  </si>
  <si>
    <t>4Q</t>
  </si>
  <si>
    <t>4q</t>
  </si>
  <si>
    <t>MovY</t>
  </si>
  <si>
    <t>Súčet z Počet balení</t>
  </si>
  <si>
    <t>Celkový súčet</t>
  </si>
  <si>
    <t xml:space="preserve">Medzirocny pokles </t>
  </si>
  <si>
    <t>Pokial nic nespravime a medzirocne bude pokles -2%</t>
  </si>
  <si>
    <t>Dopad v '000</t>
  </si>
  <si>
    <t>Navysenie uhrady</t>
  </si>
  <si>
    <t>Navysenie uhrady pre IG i.v.</t>
  </si>
  <si>
    <t>Navysenie uhrady pre IG i.m.</t>
  </si>
  <si>
    <t>Hodnota</t>
  </si>
  <si>
    <t xml:space="preserve">Parameter </t>
  </si>
  <si>
    <t>Mesiac/rok uplatnenia osobitnej cenovej regulácie</t>
  </si>
  <si>
    <t>5/22</t>
  </si>
  <si>
    <t>Suma úhrad zo zdravotného poistenia '000 €</t>
  </si>
  <si>
    <t>Tabuľka 1.</t>
  </si>
  <si>
    <t>Bez použitia osobitnej regulácie, za predpokladu, že všetky lieky zostanú na SK trhu</t>
  </si>
  <si>
    <t>Vývoj úhrad ZP pre i.v. imunoglobulíny</t>
  </si>
  <si>
    <t>Tabuľka 2.</t>
  </si>
  <si>
    <t>Pri použití osobitnej regulácie</t>
  </si>
  <si>
    <t>s uplatnenim osobitnej cenovej regulacie</t>
  </si>
  <si>
    <t>bez uplatnenia osobitnej cenovej regulacie</t>
  </si>
  <si>
    <t>Predpoklad sumy úhrad zo zdravotného poistenia</t>
  </si>
  <si>
    <t>Predpokladaná Medziročná zmena</t>
  </si>
  <si>
    <t xml:space="preserve">Medziročná zmena v '000 € </t>
  </si>
  <si>
    <t>Tabuľka 3.</t>
  </si>
  <si>
    <t>Suma úhrad zo zdravotného poistenia '000 € bez použitia</t>
  </si>
  <si>
    <t>Suma úhrad zo zdravotného poistenia '000 € s použitím</t>
  </si>
  <si>
    <t>Rozdiel* v '000 €</t>
  </si>
  <si>
    <t>Modelovanie dopadu použitia osobitnej cenovej regulácie</t>
  </si>
  <si>
    <t>Vývoj úhrad ZP pre i.m. imunoglobulíny</t>
  </si>
  <si>
    <t>* zaokrúhlené na 100</t>
  </si>
  <si>
    <t>Predpokladaná medziročná zmena úhrade</t>
  </si>
  <si>
    <t xml:space="preserve"> J06C0 POLYVAL IMMUNO-GLOBLN I.V + I.M.</t>
  </si>
  <si>
    <t>Tabuľka 4.</t>
  </si>
  <si>
    <t>Tabuľka 5.</t>
  </si>
  <si>
    <t>Tabuľka 6.</t>
  </si>
  <si>
    <t>Tabuľka 7.</t>
  </si>
  <si>
    <t>Vývoj úhrad ZP pre LMWH</t>
  </si>
  <si>
    <t>Tabuľka 8.</t>
  </si>
  <si>
    <t>Tabuľka 9.</t>
  </si>
  <si>
    <t>Tabuľka 10.</t>
  </si>
  <si>
    <t>Vývoj úhrad ZP pre i.v. + i.m. imunoglobulíny</t>
  </si>
  <si>
    <t>Vývoj úhrad ZP pre i.v. + i.m. imunoglobulíny + LMWH</t>
  </si>
  <si>
    <t>Modelovanie dopadu použitia § 95</t>
  </si>
  <si>
    <t>Total</t>
  </si>
  <si>
    <t>Korekcia o §95 úprava úhrad Mar22, -50%</t>
  </si>
  <si>
    <t>Riadok v dopade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</si>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</sst>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"/>
    <numFmt numFmtId="165" formatCode="#,##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186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4" fillId="0" borderId="0"/>
    <xf numFmtId="0" fontId="7" fillId="0" borderId="0"/>
    <xf numFmtId="0" fontId="8" fillId="0" borderId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5" xfId="0" applyFont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9" xfId="0" applyBorder="1"/>
    <xf numFmtId="0" fontId="1" fillId="2" borderId="9" xfId="0" applyFont="1" applyFill="1" applyBorder="1" applyAlignment="1">
      <alignment horizontal="left"/>
    </xf>
    <xf numFmtId="3" fontId="0" fillId="0" borderId="1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left"/>
    </xf>
    <xf numFmtId="3" fontId="0" fillId="0" borderId="0" xfId="0" applyNumberFormat="1" applyBorder="1"/>
    <xf numFmtId="9" fontId="0" fillId="0" borderId="0" xfId="8" applyFont="1" applyBorder="1"/>
    <xf numFmtId="3" fontId="0" fillId="0" borderId="6" xfId="0" applyNumberFormat="1" applyBorder="1"/>
    <xf numFmtId="9" fontId="0" fillId="0" borderId="0" xfId="0" applyNumberFormat="1" applyBorder="1"/>
    <xf numFmtId="164" fontId="10" fillId="0" borderId="0" xfId="4" applyNumberFormat="1" applyFont="1" applyAlignment="1">
      <alignment horizontal="left"/>
    </xf>
    <xf numFmtId="0" fontId="10" fillId="0" borderId="0" xfId="4" applyFont="1"/>
    <xf numFmtId="0" fontId="10" fillId="0" borderId="0" xfId="4" applyFont="1" applyAlignment="1">
      <alignment horizontal="center" vertical="center" wrapText="1"/>
    </xf>
    <xf numFmtId="0" fontId="11" fillId="3" borderId="0" xfId="4" applyFont="1" applyFill="1" applyAlignment="1">
      <alignment horizontal="left"/>
    </xf>
    <xf numFmtId="165" fontId="11" fillId="3" borderId="0" xfId="4" applyNumberFormat="1" applyFont="1" applyFill="1" applyAlignment="1">
      <alignment horizontal="right"/>
    </xf>
    <xf numFmtId="0" fontId="10" fillId="0" borderId="0" xfId="4" applyFont="1" applyAlignment="1">
      <alignment horizontal="left"/>
    </xf>
    <xf numFmtId="165" fontId="10" fillId="0" borderId="0" xfId="4" applyNumberFormat="1" applyFont="1" applyAlignment="1">
      <alignment horizontal="right"/>
    </xf>
    <xf numFmtId="3" fontId="11" fillId="3" borderId="0" xfId="4" applyNumberFormat="1" applyFont="1" applyFill="1" applyAlignment="1">
      <alignment horizontal="right"/>
    </xf>
    <xf numFmtId="3" fontId="10" fillId="0" borderId="0" xfId="4" applyNumberFormat="1" applyFont="1"/>
    <xf numFmtId="9" fontId="10" fillId="0" borderId="0" xfId="4" applyNumberFormat="1" applyFont="1"/>
    <xf numFmtId="1" fontId="10" fillId="0" borderId="0" xfId="4" applyNumberFormat="1" applyFont="1"/>
    <xf numFmtId="0" fontId="0" fillId="0" borderId="0" xfId="0" applyFont="1"/>
    <xf numFmtId="9" fontId="0" fillId="0" borderId="0" xfId="0" applyNumberFormat="1" applyFont="1"/>
    <xf numFmtId="0" fontId="10" fillId="4" borderId="11" xfId="4" applyFont="1" applyFill="1" applyBorder="1" applyAlignment="1">
      <alignment horizontal="left"/>
    </xf>
    <xf numFmtId="0" fontId="10" fillId="4" borderId="0" xfId="4" applyFont="1" applyFill="1"/>
    <xf numFmtId="0" fontId="13" fillId="4" borderId="0" xfId="4" applyFont="1" applyFill="1"/>
    <xf numFmtId="0" fontId="14" fillId="4" borderId="0" xfId="4" applyFont="1" applyFill="1"/>
    <xf numFmtId="0" fontId="12" fillId="4" borderId="10" xfId="4" applyFont="1" applyFill="1" applyBorder="1"/>
    <xf numFmtId="0" fontId="12" fillId="4" borderId="10" xfId="4" applyFont="1" applyFill="1" applyBorder="1" applyAlignment="1">
      <alignment horizontal="left"/>
    </xf>
    <xf numFmtId="0" fontId="10" fillId="4" borderId="10" xfId="4" applyFont="1" applyFill="1" applyBorder="1" applyAlignment="1">
      <alignment horizontal="left"/>
    </xf>
    <xf numFmtId="3" fontId="10" fillId="4" borderId="11" xfId="4" applyNumberFormat="1" applyFont="1" applyFill="1" applyBorder="1" applyAlignment="1">
      <alignment horizontal="left"/>
    </xf>
    <xf numFmtId="9" fontId="10" fillId="4" borderId="11" xfId="4" applyNumberFormat="1" applyFont="1" applyFill="1" applyBorder="1" applyAlignment="1">
      <alignment horizontal="left"/>
    </xf>
    <xf numFmtId="0" fontId="10" fillId="4" borderId="0" xfId="4" applyFont="1" applyFill="1" applyAlignment="1">
      <alignment horizontal="left"/>
    </xf>
    <xf numFmtId="3" fontId="10" fillId="4" borderId="0" xfId="4" applyNumberFormat="1" applyFont="1" applyFill="1"/>
    <xf numFmtId="0" fontId="15" fillId="0" borderId="0" xfId="4" applyFont="1"/>
    <xf numFmtId="0" fontId="0" fillId="0" borderId="0" xfId="0" quotePrefix="1"/>
    <xf numFmtId="0" fontId="12" fillId="4" borderId="10" xfId="4" applyFont="1" applyFill="1" applyBorder="1" applyAlignment="1">
      <alignment wrapText="1"/>
    </xf>
  </cellXfs>
  <cellStyles count="9">
    <cellStyle name="Normaallaad 2" xfId="7"/>
    <cellStyle name="Normálna" xfId="0" builtinId="0"/>
    <cellStyle name="Normálna 2" xfId="2"/>
    <cellStyle name="Normálna 2 2" xfId="5"/>
    <cellStyle name="Normálna 3" xfId="3"/>
    <cellStyle name="Normálna 3 2" xfId="4"/>
    <cellStyle name="Normálna 4" xfId="6"/>
    <cellStyle name="Normálna 5" xfId="1"/>
    <cellStyle name="Percentá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IGs!$A$3</c:f>
              <c:strCache>
                <c:ptCount val="1"/>
                <c:pt idx="0">
                  <c:v> J06C0 POLYVAL IMMUNO-GLOBLN I.V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IGs!$B$2:$H$2</c:f>
              <c:strCache>
                <c:ptCount val="7"/>
                <c:pt idx="0">
                  <c:v>EURO Sales
Q1/20</c:v>
                </c:pt>
                <c:pt idx="1">
                  <c:v>EURO Sales
Q2/20</c:v>
                </c:pt>
                <c:pt idx="2">
                  <c:v>EURO Sales
Q3/20</c:v>
                </c:pt>
                <c:pt idx="3">
                  <c:v>EURO Sales
Q4/20</c:v>
                </c:pt>
                <c:pt idx="4">
                  <c:v>EURO Sales
Q1/21</c:v>
                </c:pt>
                <c:pt idx="5">
                  <c:v>EURO Sales
Q2/21</c:v>
                </c:pt>
                <c:pt idx="6">
                  <c:v>EURO Sales
Q3/21</c:v>
                </c:pt>
              </c:strCache>
            </c:strRef>
          </c:cat>
          <c:val>
            <c:numRef>
              <c:f>IGs!$B$3:$H$3</c:f>
              <c:numCache>
                <c:formatCode>#\ ##0.0</c:formatCode>
                <c:ptCount val="7"/>
                <c:pt idx="0">
                  <c:v>3868.4701992187502</c:v>
                </c:pt>
                <c:pt idx="1">
                  <c:v>3452.7104374999999</c:v>
                </c:pt>
                <c:pt idx="2">
                  <c:v>3495.5299453124999</c:v>
                </c:pt>
                <c:pt idx="3">
                  <c:v>3696.3293476562499</c:v>
                </c:pt>
                <c:pt idx="4">
                  <c:v>4065.1852988281248</c:v>
                </c:pt>
                <c:pt idx="5">
                  <c:v>3731.3246640624998</c:v>
                </c:pt>
                <c:pt idx="6">
                  <c:v>3267.176375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A-4CA4-86B9-1E60F7F4C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116560"/>
        <c:axId val="632113280"/>
      </c:lineChart>
      <c:catAx>
        <c:axId val="63211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2113280"/>
        <c:crosses val="autoZero"/>
        <c:auto val="1"/>
        <c:lblAlgn val="ctr"/>
        <c:lblOffset val="100"/>
        <c:noMultiLvlLbl val="0"/>
      </c:catAx>
      <c:valAx>
        <c:axId val="63211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211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LMWHs!$A$6</c:f>
              <c:strCache>
                <c:ptCount val="1"/>
                <c:pt idx="0">
                  <c:v>LMWH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LMWHs!$B$5:$I$5</c:f>
              <c:strCache>
                <c:ptCount val="8"/>
                <c:pt idx="0">
                  <c:v>1Q</c:v>
                </c:pt>
                <c:pt idx="1">
                  <c:v>2Q</c:v>
                </c:pt>
                <c:pt idx="2">
                  <c:v>3Q</c:v>
                </c:pt>
                <c:pt idx="3">
                  <c:v>4Q</c:v>
                </c:pt>
                <c:pt idx="4">
                  <c:v>1Q</c:v>
                </c:pt>
                <c:pt idx="5">
                  <c:v>2Q</c:v>
                </c:pt>
                <c:pt idx="6">
                  <c:v>3Q</c:v>
                </c:pt>
                <c:pt idx="7">
                  <c:v>4q</c:v>
                </c:pt>
              </c:strCache>
            </c:strRef>
          </c:cat>
          <c:val>
            <c:numRef>
              <c:f>LMWHs!$B$6:$I$6</c:f>
              <c:numCache>
                <c:formatCode>#,##0</c:formatCode>
                <c:ptCount val="8"/>
                <c:pt idx="0">
                  <c:v>6073315.6200000001</c:v>
                </c:pt>
                <c:pt idx="1">
                  <c:v>5336654.9700000007</c:v>
                </c:pt>
                <c:pt idx="2">
                  <c:v>6233972.0299999993</c:v>
                </c:pt>
                <c:pt idx="3">
                  <c:v>6127898.6899999976</c:v>
                </c:pt>
                <c:pt idx="4">
                  <c:v>7671545.0499999998</c:v>
                </c:pt>
                <c:pt idx="5">
                  <c:v>7959373.5699999984</c:v>
                </c:pt>
                <c:pt idx="6">
                  <c:v>5800000</c:v>
                </c:pt>
                <c:pt idx="7">
                  <c:v>7600000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F-4B82-B030-AA85CA623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154464"/>
        <c:axId val="636155448"/>
      </c:lineChart>
      <c:catAx>
        <c:axId val="63615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6155448"/>
        <c:crosses val="autoZero"/>
        <c:auto val="1"/>
        <c:lblAlgn val="ctr"/>
        <c:lblOffset val="100"/>
        <c:noMultiLvlLbl val="0"/>
      </c:catAx>
      <c:valAx>
        <c:axId val="636155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615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371481</xdr:colOff>
      <xdr:row>2</xdr:row>
      <xdr:rowOff>76206</xdr:rowOff>
    </xdr:from>
    <xdr:to>
      <xdr:col>16</xdr:col>
      <xdr:colOff>66681</xdr:colOff>
      <xdr:row>20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15</xdr:row>
      <xdr:rowOff>9525</xdr:rowOff>
    </xdr:from>
    <xdr:to>
      <xdr:col>16</xdr:col>
      <xdr:colOff>533400</xdr:colOff>
      <xdr:row>30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tabSelected="1" workbookViewId="0">
      <selection activeCell="E12" sqref="E12:H12"/>
    </sheetView>
  </sheetViews>
  <sheetFormatPr defaultRowHeight="15" x14ac:dyDescent="0.25"/>
  <cols>
    <col min="2" max="2" width="52" bestFit="1" customWidth="1"/>
  </cols>
  <sheetData>
    <row r="2" spans="1:8" x14ac:dyDescent="0.25">
      <c r="B2" s="37" t="s">
        <v>44</v>
      </c>
      <c r="C2" s="44"/>
      <c r="D2" s="44"/>
      <c r="E2" s="44"/>
      <c r="F2" s="44"/>
      <c r="G2" s="44"/>
      <c r="H2" s="44"/>
    </row>
    <row r="3" spans="1:8" x14ac:dyDescent="0.25">
      <c r="B3" s="38" t="s">
        <v>72</v>
      </c>
      <c r="C3" s="44"/>
      <c r="D3" s="44"/>
      <c r="E3" s="44"/>
      <c r="F3" s="44"/>
      <c r="G3" s="44"/>
      <c r="H3" s="44"/>
    </row>
    <row r="4" spans="1:8" x14ac:dyDescent="0.25">
      <c r="B4" s="37" t="s">
        <v>73</v>
      </c>
      <c r="C4" s="44"/>
      <c r="D4" s="44"/>
      <c r="E4" s="44"/>
      <c r="F4" s="44"/>
      <c r="G4" s="44"/>
      <c r="H4" s="44"/>
    </row>
    <row r="5" spans="1:8" x14ac:dyDescent="0.25">
      <c r="B5" s="37"/>
      <c r="C5" s="44"/>
      <c r="D5" s="44"/>
      <c r="E5" s="44"/>
      <c r="F5" s="44"/>
      <c r="G5" s="44"/>
      <c r="H5" s="44"/>
    </row>
    <row r="6" spans="1:8" ht="47.25" x14ac:dyDescent="0.25">
      <c r="A6" s="48" t="s">
        <v>76</v>
      </c>
      <c r="B6" s="39" t="s">
        <v>40</v>
      </c>
      <c r="C6" s="40" t="s">
        <v>39</v>
      </c>
      <c r="D6" s="41"/>
      <c r="E6" s="41"/>
      <c r="F6" s="40"/>
      <c r="G6" s="40"/>
      <c r="H6" s="40"/>
    </row>
    <row r="7" spans="1:8" x14ac:dyDescent="0.25">
      <c r="B7" s="35"/>
      <c r="C7" s="35">
        <v>2020</v>
      </c>
      <c r="D7" s="35">
        <v>2021</v>
      </c>
      <c r="E7" s="35">
        <v>2022</v>
      </c>
      <c r="F7" s="35">
        <v>2023</v>
      </c>
      <c r="G7" s="35">
        <v>2024</v>
      </c>
      <c r="H7" s="35">
        <v>2025</v>
      </c>
    </row>
    <row r="8" spans="1:8" x14ac:dyDescent="0.25">
      <c r="B8" s="35" t="s">
        <v>1</v>
      </c>
      <c r="C8" s="42">
        <f>IGs!K78</f>
        <v>0</v>
      </c>
      <c r="D8" s="42">
        <f>IGs!L78</f>
        <v>0</v>
      </c>
      <c r="E8" s="42">
        <f>IGs!M78</f>
        <v>2340</v>
      </c>
      <c r="F8" s="42">
        <f>IGs!N78</f>
        <v>4420</v>
      </c>
      <c r="G8" s="42">
        <f>IGs!O78</f>
        <v>4340</v>
      </c>
      <c r="H8" s="42">
        <f>IGs!P78</f>
        <v>4250</v>
      </c>
    </row>
    <row r="9" spans="1:8" x14ac:dyDescent="0.25">
      <c r="B9" s="35" t="s">
        <v>0</v>
      </c>
      <c r="C9" s="42">
        <f>LMWHs!B68</f>
        <v>0</v>
      </c>
      <c r="D9" s="42">
        <f>LMWHs!C68</f>
        <v>0</v>
      </c>
      <c r="E9" s="42">
        <f>LMWHs!D68</f>
        <v>4900</v>
      </c>
      <c r="F9" s="42">
        <f>LMWHs!E68</f>
        <v>8960</v>
      </c>
      <c r="G9" s="42">
        <f>LMWHs!F68</f>
        <v>8780</v>
      </c>
      <c r="H9" s="42">
        <f>LMWHs!G68</f>
        <v>8600</v>
      </c>
    </row>
    <row r="10" spans="1:8" x14ac:dyDescent="0.25">
      <c r="B10" s="35" t="s">
        <v>74</v>
      </c>
      <c r="C10" s="42">
        <f>ROUND(C9-C8, -1)</f>
        <v>0</v>
      </c>
      <c r="D10" s="42">
        <f t="shared" ref="D10" si="0">ROUND(D9-D8, -1)</f>
        <v>0</v>
      </c>
      <c r="E10" s="42">
        <f>SUM(E8:E9)</f>
        <v>7240</v>
      </c>
      <c r="F10" s="42">
        <f t="shared" ref="F10:H10" si="1">SUM(F8:F9)</f>
        <v>13380</v>
      </c>
      <c r="G10" s="42">
        <f t="shared" si="1"/>
        <v>13120</v>
      </c>
      <c r="H10" s="42">
        <f t="shared" si="1"/>
        <v>12850</v>
      </c>
    </row>
    <row r="11" spans="1:8" x14ac:dyDescent="0.25">
      <c r="B11" s="35"/>
      <c r="C11" s="42"/>
      <c r="D11" s="42"/>
      <c r="E11" s="42"/>
      <c r="F11" s="42"/>
      <c r="G11" s="42"/>
      <c r="H11" s="42"/>
    </row>
    <row r="12" spans="1:8" x14ac:dyDescent="0.25">
      <c r="A12" s="47" t="s">
        <v>77</v>
      </c>
      <c r="B12" s="35" t="s">
        <v>75</v>
      </c>
      <c r="C12" s="42"/>
      <c r="D12" s="42"/>
      <c r="E12" s="42">
        <f>ROUND(E10,-2)</f>
        <v>7200</v>
      </c>
      <c r="F12" s="42">
        <f>ROUND(F10,-2)</f>
        <v>13400</v>
      </c>
      <c r="G12" s="42">
        <f>ROUND(G10,-2)</f>
        <v>13100</v>
      </c>
      <c r="H12" s="42">
        <f>ROUND(H10,-2)</f>
        <v>12900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86"/>
  <sheetViews>
    <sheetView workbookViewId="0">
      <pane xSplit="1" ySplit="2" topLeftCell="B51" activePane="bottomRight" state="frozen"/>
      <selection pane="topRight"/>
      <selection pane="bottomLeft"/>
      <selection pane="bottomRight" activeCell="K79" sqref="K79"/>
    </sheetView>
  </sheetViews>
  <sheetFormatPr defaultRowHeight="15" outlineLevelRow="1" x14ac:dyDescent="0.25"/>
  <cols>
    <col min="1" max="1" width="50.7109375" style="23" customWidth="1"/>
    <col min="2" max="8" width="9.28515625" style="23" customWidth="1"/>
    <col min="9" max="9" width="9.140625" style="23"/>
    <col min="10" max="10" width="50.7109375" style="23" customWidth="1"/>
    <col min="11" max="16384" width="9.140625" style="23"/>
  </cols>
  <sheetData>
    <row r="1" spans="1:10" x14ac:dyDescent="0.25">
      <c r="A1" s="22" t="s">
        <v>2</v>
      </c>
    </row>
    <row r="2" spans="1:10" ht="45" x14ac:dyDescent="0.25">
      <c r="B2" s="24" t="s">
        <v>3</v>
      </c>
      <c r="C2" s="24" t="s">
        <v>4</v>
      </c>
      <c r="D2" s="24" t="s">
        <v>5</v>
      </c>
      <c r="E2" s="24" t="s">
        <v>6</v>
      </c>
      <c r="F2" s="24" t="s">
        <v>7</v>
      </c>
      <c r="G2" s="24" t="s">
        <v>8</v>
      </c>
      <c r="H2" s="24" t="s">
        <v>9</v>
      </c>
    </row>
    <row r="3" spans="1:10" x14ac:dyDescent="0.25">
      <c r="A3" s="25" t="s">
        <v>10</v>
      </c>
      <c r="B3" s="26">
        <v>3868.4701992187502</v>
      </c>
      <c r="C3" s="26">
        <v>3452.7104374999999</v>
      </c>
      <c r="D3" s="26">
        <v>3495.5299453124999</v>
      </c>
      <c r="E3" s="26">
        <v>3696.3293476562499</v>
      </c>
      <c r="F3" s="26">
        <v>4065.1852988281248</v>
      </c>
      <c r="G3" s="26">
        <v>3731.3246640624998</v>
      </c>
      <c r="H3" s="26">
        <v>3267.176375</v>
      </c>
    </row>
    <row r="4" spans="1:10" outlineLevel="1" x14ac:dyDescent="0.25">
      <c r="A4" s="27" t="s">
        <v>11</v>
      </c>
      <c r="B4" s="28">
        <v>1133.9216562500001</v>
      </c>
      <c r="C4" s="28">
        <v>1463.8676250000001</v>
      </c>
      <c r="D4" s="28">
        <v>1499.7963125000001</v>
      </c>
      <c r="E4" s="28">
        <v>1777.347</v>
      </c>
      <c r="F4" s="28">
        <v>2137.7565</v>
      </c>
      <c r="G4" s="28">
        <v>2350.0181874999998</v>
      </c>
      <c r="H4" s="28">
        <v>2329.5169375</v>
      </c>
    </row>
    <row r="5" spans="1:10" outlineLevel="1" x14ac:dyDescent="0.25">
      <c r="A5" s="27" t="s">
        <v>12</v>
      </c>
      <c r="B5" s="28">
        <v>1369.94785546875</v>
      </c>
      <c r="C5" s="28">
        <v>1547.283375</v>
      </c>
      <c r="D5" s="28">
        <v>986.36913281249997</v>
      </c>
      <c r="E5" s="28">
        <v>908.34709765624996</v>
      </c>
      <c r="F5" s="28">
        <v>869.79595507812496</v>
      </c>
      <c r="G5" s="28">
        <v>734.23372656250001</v>
      </c>
      <c r="H5" s="28">
        <v>937.65943749999997</v>
      </c>
    </row>
    <row r="6" spans="1:10" outlineLevel="1" x14ac:dyDescent="0.25">
      <c r="A6" s="27" t="s">
        <v>13</v>
      </c>
      <c r="B6" s="28">
        <v>1364.6006875</v>
      </c>
      <c r="C6" s="28">
        <v>441.5594375</v>
      </c>
      <c r="D6" s="28">
        <v>1007.3765</v>
      </c>
      <c r="E6" s="28">
        <v>1010.63525</v>
      </c>
      <c r="F6" s="28">
        <v>1057.6328437499999</v>
      </c>
      <c r="G6" s="28">
        <v>647.07275000000004</v>
      </c>
      <c r="H6" s="28">
        <v>0</v>
      </c>
    </row>
    <row r="7" spans="1:10" x14ac:dyDescent="0.25">
      <c r="A7" s="25" t="s">
        <v>14</v>
      </c>
      <c r="B7" s="26">
        <v>1671.2414706726074</v>
      </c>
      <c r="C7" s="26">
        <v>1335.0866816406251</v>
      </c>
      <c r="D7" s="26">
        <v>1476.0655988159181</v>
      </c>
      <c r="E7" s="26">
        <v>1781.968763671875</v>
      </c>
      <c r="F7" s="26">
        <v>1522.254959350586</v>
      </c>
      <c r="G7" s="26">
        <v>1524.3950914916993</v>
      </c>
      <c r="H7" s="26">
        <v>1440.9219924011231</v>
      </c>
    </row>
    <row r="8" spans="1:10" outlineLevel="1" x14ac:dyDescent="0.25">
      <c r="A8" s="27" t="s">
        <v>15</v>
      </c>
      <c r="B8" s="28">
        <v>1375.3499150390626</v>
      </c>
      <c r="C8" s="28">
        <v>1172.6718798828124</v>
      </c>
      <c r="D8" s="28">
        <v>1317.1379999999999</v>
      </c>
      <c r="E8" s="28">
        <v>1460.2631249999999</v>
      </c>
      <c r="F8" s="28">
        <v>1435.0973100585938</v>
      </c>
      <c r="G8" s="28">
        <v>1421.1283100585938</v>
      </c>
      <c r="H8" s="28">
        <v>1334.860050048828</v>
      </c>
    </row>
    <row r="9" spans="1:10" outlineLevel="1" x14ac:dyDescent="0.25">
      <c r="A9" s="27" t="s">
        <v>16</v>
      </c>
      <c r="B9" s="28">
        <v>29.159640625000002</v>
      </c>
      <c r="C9" s="28">
        <v>16.139879882812501</v>
      </c>
      <c r="D9" s="28">
        <v>28.081080078125002</v>
      </c>
      <c r="E9" s="28">
        <v>33.82055859375</v>
      </c>
      <c r="F9" s="28">
        <v>38.866679687500003</v>
      </c>
      <c r="G9" s="28">
        <v>67.906101562499998</v>
      </c>
      <c r="H9" s="28">
        <v>63.963480468749999</v>
      </c>
    </row>
    <row r="10" spans="1:10" outlineLevel="1" x14ac:dyDescent="0.25">
      <c r="A10" s="27" t="s">
        <v>17</v>
      </c>
      <c r="B10" s="28">
        <v>86.545249999999996</v>
      </c>
      <c r="C10" s="28">
        <v>32.034750000000003</v>
      </c>
      <c r="D10" s="28">
        <v>47.976500000000001</v>
      </c>
      <c r="E10" s="28">
        <v>55.115499999999997</v>
      </c>
      <c r="F10" s="28">
        <v>46.663389648437501</v>
      </c>
      <c r="G10" s="28">
        <v>35.360679870605466</v>
      </c>
      <c r="H10" s="28">
        <v>42.098461883544921</v>
      </c>
    </row>
    <row r="11" spans="1:10" outlineLevel="1" x14ac:dyDescent="0.25">
      <c r="A11" s="27" t="s">
        <v>18</v>
      </c>
      <c r="B11" s="28">
        <v>180.18666500854494</v>
      </c>
      <c r="C11" s="28">
        <v>114.240171875</v>
      </c>
      <c r="D11" s="28">
        <v>82.870018737792975</v>
      </c>
      <c r="E11" s="28">
        <v>232.76958007812499</v>
      </c>
      <c r="F11" s="28">
        <v>1.6275799560546875</v>
      </c>
      <c r="G11" s="28">
        <v>0</v>
      </c>
      <c r="H11" s="28">
        <v>0</v>
      </c>
    </row>
    <row r="14" spans="1:10" x14ac:dyDescent="0.25">
      <c r="A14" s="23" t="s">
        <v>49</v>
      </c>
      <c r="B14" s="24">
        <v>2020</v>
      </c>
      <c r="C14" s="24">
        <v>2021</v>
      </c>
      <c r="D14" s="24">
        <v>2022</v>
      </c>
      <c r="E14" s="24">
        <v>2023</v>
      </c>
      <c r="F14" s="24">
        <v>2024</v>
      </c>
      <c r="G14" s="24">
        <v>2025</v>
      </c>
      <c r="H14" s="24"/>
      <c r="I14" s="24"/>
      <c r="J14" s="24"/>
    </row>
    <row r="15" spans="1:10" x14ac:dyDescent="0.25">
      <c r="A15" s="25" t="s">
        <v>10</v>
      </c>
      <c r="B15" s="29">
        <f>SUM(B3:E3)</f>
        <v>14513.0399296875</v>
      </c>
      <c r="C15" s="29">
        <f>SUM(E3:H3)</f>
        <v>14760.015685546874</v>
      </c>
      <c r="D15" s="29">
        <f>C15+0.5*D29</f>
        <v>16605.017646240234</v>
      </c>
      <c r="E15" s="29">
        <f>C15+D29</f>
        <v>18450.019606933594</v>
      </c>
      <c r="F15" s="29">
        <f>E15*0.98</f>
        <v>18081.019214794924</v>
      </c>
      <c r="G15" s="29">
        <f>F15*0.98</f>
        <v>17719.398830499023</v>
      </c>
      <c r="H15" s="24"/>
      <c r="I15" s="24"/>
      <c r="J15" s="24"/>
    </row>
    <row r="16" spans="1:10" x14ac:dyDescent="0.25">
      <c r="A16" s="25" t="s">
        <v>14</v>
      </c>
      <c r="B16" s="29">
        <f>SUM(B7:F7)</f>
        <v>7786.6174741516115</v>
      </c>
      <c r="C16" s="29">
        <f>SUM(E7:H7)</f>
        <v>6269.5408069152836</v>
      </c>
      <c r="D16" s="29">
        <f>C16+0.5*D33</f>
        <v>6426.2793270881657</v>
      </c>
      <c r="E16" s="29">
        <f>D16+D33</f>
        <v>6739.7563674339299</v>
      </c>
      <c r="F16" s="29">
        <f>E16*0.98</f>
        <v>6604.9612400852511</v>
      </c>
      <c r="G16" s="29">
        <f>F16*0.98</f>
        <v>6472.8620152835456</v>
      </c>
      <c r="H16" s="24"/>
      <c r="I16" s="24"/>
      <c r="J16" s="24"/>
    </row>
    <row r="17" spans="1:10" x14ac:dyDescent="0.25">
      <c r="A17" s="23" t="s">
        <v>1</v>
      </c>
      <c r="B17" s="30">
        <f t="shared" ref="B17:G17" si="0">SUM(B15:B16)</f>
        <v>22299.657403839112</v>
      </c>
      <c r="C17" s="30">
        <f t="shared" si="0"/>
        <v>21029.556492462158</v>
      </c>
      <c r="D17" s="30">
        <f t="shared" si="0"/>
        <v>23031.296973328401</v>
      </c>
      <c r="E17" s="30">
        <f t="shared" si="0"/>
        <v>25189.775974367523</v>
      </c>
      <c r="F17" s="30">
        <f t="shared" si="0"/>
        <v>24685.980454880177</v>
      </c>
      <c r="G17" s="30">
        <f t="shared" si="0"/>
        <v>24192.26084578257</v>
      </c>
      <c r="H17" s="24"/>
      <c r="I17" s="24"/>
      <c r="J17" s="24"/>
    </row>
    <row r="19" spans="1:10" x14ac:dyDescent="0.25">
      <c r="A19" s="23" t="s">
        <v>50</v>
      </c>
      <c r="B19" s="24">
        <v>2020</v>
      </c>
      <c r="C19" s="24">
        <v>2021</v>
      </c>
      <c r="D19" s="24">
        <v>2022</v>
      </c>
      <c r="E19" s="24">
        <v>2023</v>
      </c>
      <c r="F19" s="24">
        <v>2024</v>
      </c>
      <c r="G19" s="24">
        <v>2025</v>
      </c>
    </row>
    <row r="20" spans="1:10" x14ac:dyDescent="0.25">
      <c r="A20" s="25" t="s">
        <v>10</v>
      </c>
      <c r="B20" s="29">
        <v>14513.0399296875</v>
      </c>
      <c r="C20" s="29">
        <v>14760.015685546874</v>
      </c>
      <c r="D20" s="29">
        <f>C20</f>
        <v>14760.015685546874</v>
      </c>
      <c r="E20" s="29">
        <f t="shared" ref="D20:G21" si="1">0.98*D20</f>
        <v>14464.815371835935</v>
      </c>
      <c r="F20" s="29">
        <f t="shared" si="1"/>
        <v>14175.519064399215</v>
      </c>
      <c r="G20" s="29">
        <f t="shared" si="1"/>
        <v>13892.008683111231</v>
      </c>
    </row>
    <row r="21" spans="1:10" x14ac:dyDescent="0.25">
      <c r="A21" s="25" t="s">
        <v>14</v>
      </c>
      <c r="B21" s="29">
        <v>7786.6174741516115</v>
      </c>
      <c r="C21" s="29">
        <v>6269.5408069152836</v>
      </c>
      <c r="D21" s="29">
        <f t="shared" si="1"/>
        <v>6144.1499907769776</v>
      </c>
      <c r="E21" s="29">
        <f t="shared" si="1"/>
        <v>6021.2669909614378</v>
      </c>
      <c r="F21" s="29">
        <f t="shared" si="1"/>
        <v>5900.8416511422092</v>
      </c>
      <c r="G21" s="29">
        <f t="shared" si="1"/>
        <v>5782.8248181193649</v>
      </c>
    </row>
    <row r="22" spans="1:10" x14ac:dyDescent="0.25">
      <c r="A22" s="23" t="s">
        <v>1</v>
      </c>
      <c r="B22" s="30">
        <f t="shared" ref="B22:G22" si="2">SUM(B20:B21)</f>
        <v>22299.657403839112</v>
      </c>
      <c r="C22" s="30">
        <f t="shared" si="2"/>
        <v>21029.556492462158</v>
      </c>
      <c r="D22" s="30">
        <f t="shared" si="2"/>
        <v>20904.16567632385</v>
      </c>
      <c r="E22" s="30">
        <f t="shared" si="2"/>
        <v>20486.082362797373</v>
      </c>
      <c r="F22" s="30">
        <f t="shared" si="2"/>
        <v>20076.360715541425</v>
      </c>
      <c r="G22" s="30">
        <f t="shared" si="2"/>
        <v>19674.833501230598</v>
      </c>
    </row>
    <row r="23" spans="1:10" x14ac:dyDescent="0.25">
      <c r="B23" s="30"/>
      <c r="C23" s="30"/>
      <c r="D23" s="30"/>
      <c r="E23" s="30"/>
      <c r="F23" s="30"/>
      <c r="G23" s="30"/>
    </row>
    <row r="24" spans="1:10" x14ac:dyDescent="0.25">
      <c r="A24" s="23" t="s">
        <v>19</v>
      </c>
      <c r="B24" s="30">
        <f t="shared" ref="B24:G24" si="3">B17-B22</f>
        <v>0</v>
      </c>
      <c r="C24" s="30">
        <f t="shared" si="3"/>
        <v>0</v>
      </c>
      <c r="D24" s="30">
        <f t="shared" si="3"/>
        <v>2127.131297004551</v>
      </c>
      <c r="E24" s="30">
        <f t="shared" si="3"/>
        <v>4703.6936115701501</v>
      </c>
      <c r="F24" s="30">
        <f t="shared" si="3"/>
        <v>4609.619739338752</v>
      </c>
      <c r="G24" s="30">
        <f t="shared" si="3"/>
        <v>4517.4273445519721</v>
      </c>
    </row>
    <row r="25" spans="1:10" x14ac:dyDescent="0.25">
      <c r="A25" s="33" t="s">
        <v>35</v>
      </c>
      <c r="B25" s="30"/>
      <c r="C25" s="30"/>
      <c r="D25" s="30"/>
      <c r="E25" s="30"/>
      <c r="F25" s="30"/>
      <c r="G25" s="30"/>
    </row>
    <row r="26" spans="1:10" x14ac:dyDescent="0.25">
      <c r="B26" s="30"/>
      <c r="C26" s="30"/>
      <c r="D26" s="30"/>
      <c r="E26" s="30"/>
      <c r="F26" s="30"/>
      <c r="G26" s="30"/>
    </row>
    <row r="27" spans="1:10" x14ac:dyDescent="0.25">
      <c r="A27" s="23" t="s">
        <v>37</v>
      </c>
      <c r="D27" s="31">
        <v>0.25</v>
      </c>
    </row>
    <row r="28" spans="1:10" x14ac:dyDescent="0.25">
      <c r="D28" s="30">
        <f>C15*(1+D27)</f>
        <v>18450.019606933594</v>
      </c>
    </row>
    <row r="29" spans="1:10" x14ac:dyDescent="0.25">
      <c r="D29" s="30">
        <f>D28-C15</f>
        <v>3690.0039213867203</v>
      </c>
    </row>
    <row r="31" spans="1:10" x14ac:dyDescent="0.25">
      <c r="A31" s="23" t="s">
        <v>38</v>
      </c>
      <c r="D31" s="31">
        <v>0.05</v>
      </c>
    </row>
    <row r="32" spans="1:10" x14ac:dyDescent="0.25">
      <c r="D32" s="32">
        <f>C16*1.05</f>
        <v>6583.0178472610478</v>
      </c>
    </row>
    <row r="33" spans="1:17" x14ac:dyDescent="0.25">
      <c r="D33" s="32">
        <f>D32-C16</f>
        <v>313.47704034576418</v>
      </c>
    </row>
    <row r="35" spans="1:17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  <row r="36" spans="1:17" x14ac:dyDescent="0.25">
      <c r="A36" s="37" t="s">
        <v>44</v>
      </c>
      <c r="B36" s="36"/>
      <c r="C36" s="36"/>
      <c r="D36" s="36"/>
      <c r="E36" s="36"/>
      <c r="F36" s="36"/>
      <c r="G36" s="36"/>
      <c r="H36" s="36"/>
      <c r="I36" s="36"/>
      <c r="J36" s="37" t="s">
        <v>63</v>
      </c>
      <c r="K36" s="36"/>
      <c r="L36" s="36"/>
      <c r="M36" s="36"/>
      <c r="N36" s="36"/>
      <c r="O36" s="36"/>
      <c r="P36" s="36"/>
      <c r="Q36" s="36"/>
    </row>
    <row r="37" spans="1:17" x14ac:dyDescent="0.25">
      <c r="A37" s="38" t="s">
        <v>46</v>
      </c>
      <c r="B37" s="36"/>
      <c r="C37" s="36"/>
      <c r="D37" s="36"/>
      <c r="E37" s="36"/>
      <c r="F37" s="36"/>
      <c r="G37" s="36"/>
      <c r="H37" s="36"/>
      <c r="I37" s="36"/>
      <c r="J37" s="38" t="s">
        <v>59</v>
      </c>
      <c r="K37" s="36"/>
      <c r="L37" s="36"/>
      <c r="M37" s="36"/>
      <c r="N37" s="36"/>
      <c r="O37" s="36"/>
      <c r="P37" s="36"/>
      <c r="Q37" s="36"/>
    </row>
    <row r="38" spans="1:17" x14ac:dyDescent="0.25">
      <c r="A38" s="37" t="s">
        <v>45</v>
      </c>
      <c r="B38" s="36"/>
      <c r="C38" s="36"/>
      <c r="D38" s="36"/>
      <c r="E38" s="36"/>
      <c r="F38" s="36"/>
      <c r="G38" s="36"/>
      <c r="H38" s="36"/>
      <c r="I38" s="36"/>
      <c r="J38" s="37" t="s">
        <v>45</v>
      </c>
      <c r="K38" s="36"/>
      <c r="L38" s="36"/>
      <c r="M38" s="36"/>
      <c r="N38" s="36"/>
      <c r="O38" s="36"/>
      <c r="P38" s="36"/>
      <c r="Q38" s="36"/>
    </row>
    <row r="39" spans="1:17" x14ac:dyDescent="0.25">
      <c r="A39" s="37"/>
      <c r="B39" s="36"/>
      <c r="C39" s="36"/>
      <c r="D39" s="36"/>
      <c r="E39" s="36"/>
      <c r="F39" s="36"/>
      <c r="G39" s="36"/>
      <c r="H39" s="36"/>
      <c r="I39" s="36"/>
      <c r="J39" s="37"/>
      <c r="K39" s="36"/>
      <c r="L39" s="36"/>
      <c r="M39" s="36"/>
      <c r="N39" s="36"/>
      <c r="O39" s="36"/>
      <c r="P39" s="36"/>
      <c r="Q39" s="36"/>
    </row>
    <row r="40" spans="1:17" ht="20.25" customHeight="1" x14ac:dyDescent="0.25">
      <c r="A40" s="39" t="s">
        <v>40</v>
      </c>
      <c r="B40" s="40" t="s">
        <v>39</v>
      </c>
      <c r="C40" s="41"/>
      <c r="D40" s="41"/>
      <c r="E40" s="40"/>
      <c r="F40" s="40"/>
      <c r="G40" s="40"/>
      <c r="H40" s="36"/>
      <c r="I40" s="36"/>
      <c r="J40" s="39" t="s">
        <v>40</v>
      </c>
      <c r="K40" s="40" t="s">
        <v>39</v>
      </c>
      <c r="L40" s="41"/>
      <c r="M40" s="41"/>
      <c r="N40" s="40"/>
      <c r="O40" s="40"/>
      <c r="P40" s="40"/>
      <c r="Q40" s="36"/>
    </row>
    <row r="41" spans="1:17" ht="18" customHeight="1" x14ac:dyDescent="0.25">
      <c r="A41" s="35" t="s">
        <v>10</v>
      </c>
      <c r="B41" s="35">
        <v>2020</v>
      </c>
      <c r="C41" s="35">
        <v>2021</v>
      </c>
      <c r="D41" s="35">
        <v>2022</v>
      </c>
      <c r="E41" s="35">
        <v>2023</v>
      </c>
      <c r="F41" s="35">
        <v>2024</v>
      </c>
      <c r="G41" s="35">
        <v>2025</v>
      </c>
      <c r="H41" s="36"/>
      <c r="I41" s="36"/>
      <c r="J41" s="35" t="s">
        <v>14</v>
      </c>
      <c r="K41" s="35">
        <v>2020</v>
      </c>
      <c r="L41" s="35">
        <v>2021</v>
      </c>
      <c r="M41" s="35">
        <v>2022</v>
      </c>
      <c r="N41" s="35">
        <v>2023</v>
      </c>
      <c r="O41" s="35">
        <v>2024</v>
      </c>
      <c r="P41" s="35">
        <v>2025</v>
      </c>
      <c r="Q41" s="36"/>
    </row>
    <row r="42" spans="1:17" x14ac:dyDescent="0.25">
      <c r="A42" s="35" t="s">
        <v>43</v>
      </c>
      <c r="B42" s="42">
        <v>14513.0399296875</v>
      </c>
      <c r="C42" s="42">
        <v>14760.015685546874</v>
      </c>
      <c r="D42" s="36"/>
      <c r="E42" s="36"/>
      <c r="F42" s="36"/>
      <c r="G42" s="36"/>
      <c r="H42" s="36"/>
      <c r="I42" s="36"/>
      <c r="J42" s="35" t="s">
        <v>43</v>
      </c>
      <c r="K42" s="42">
        <v>7786.6174741516115</v>
      </c>
      <c r="L42" s="42">
        <v>6269.5408069152836</v>
      </c>
      <c r="M42" s="36"/>
      <c r="N42" s="36"/>
      <c r="O42" s="36"/>
      <c r="P42" s="36"/>
      <c r="Q42" s="36"/>
    </row>
    <row r="43" spans="1:17" x14ac:dyDescent="0.25">
      <c r="A43" s="35" t="s">
        <v>52</v>
      </c>
      <c r="B43" s="42"/>
      <c r="C43" s="42"/>
      <c r="D43" s="43">
        <v>0</v>
      </c>
      <c r="E43" s="43">
        <v>-0.02</v>
      </c>
      <c r="F43" s="43">
        <v>-0.02</v>
      </c>
      <c r="G43" s="43">
        <v>-0.02</v>
      </c>
      <c r="H43" s="36"/>
      <c r="I43" s="36"/>
      <c r="J43" s="35" t="s">
        <v>52</v>
      </c>
      <c r="K43" s="42"/>
      <c r="L43" s="42"/>
      <c r="M43" s="43">
        <v>0</v>
      </c>
      <c r="N43" s="43">
        <v>-0.02</v>
      </c>
      <c r="O43" s="43">
        <v>-0.02</v>
      </c>
      <c r="P43" s="43">
        <v>-0.02</v>
      </c>
      <c r="Q43" s="36"/>
    </row>
    <row r="44" spans="1:17" x14ac:dyDescent="0.25">
      <c r="A44" s="35" t="s">
        <v>51</v>
      </c>
      <c r="B44" s="42"/>
      <c r="C44" s="42"/>
      <c r="D44" s="42">
        <f>C42</f>
        <v>14760.015685546874</v>
      </c>
      <c r="E44" s="42">
        <f t="shared" ref="E44:G44" si="4">0.98*D44</f>
        <v>14464.815371835935</v>
      </c>
      <c r="F44" s="42">
        <f t="shared" si="4"/>
        <v>14175.519064399215</v>
      </c>
      <c r="G44" s="42">
        <f t="shared" si="4"/>
        <v>13892.008683111231</v>
      </c>
      <c r="H44" s="36"/>
      <c r="I44" s="36"/>
      <c r="J44" s="35" t="s">
        <v>51</v>
      </c>
      <c r="K44" s="42"/>
      <c r="L44" s="42"/>
      <c r="M44" s="42">
        <f>L42</f>
        <v>6269.5408069152836</v>
      </c>
      <c r="N44" s="42">
        <f t="shared" ref="N44:P44" si="5">0.98*M44</f>
        <v>6144.1499907769776</v>
      </c>
      <c r="O44" s="42">
        <f t="shared" si="5"/>
        <v>6021.2669909614378</v>
      </c>
      <c r="P44" s="42">
        <f t="shared" si="5"/>
        <v>5900.8416511422092</v>
      </c>
      <c r="Q44" s="36"/>
    </row>
    <row r="45" spans="1:17" x14ac:dyDescent="0.25">
      <c r="A45" s="35" t="s">
        <v>53</v>
      </c>
      <c r="B45" s="35"/>
      <c r="C45" s="42">
        <f>C42-B42</f>
        <v>246.97575585937375</v>
      </c>
      <c r="D45" s="42">
        <f>D44-C42</f>
        <v>0</v>
      </c>
      <c r="E45" s="42">
        <f>E44-D44</f>
        <v>-295.20031371093864</v>
      </c>
      <c r="F45" s="42">
        <f>F44-E44</f>
        <v>-289.29630743671987</v>
      </c>
      <c r="G45" s="42">
        <f>G44-F44</f>
        <v>-283.51038128798427</v>
      </c>
      <c r="H45" s="36"/>
      <c r="I45" s="36"/>
      <c r="J45" s="35" t="s">
        <v>53</v>
      </c>
      <c r="K45" s="35"/>
      <c r="L45" s="42">
        <f>L42-K42</f>
        <v>-1517.0766672363279</v>
      </c>
      <c r="M45" s="42">
        <f>M44-L42</f>
        <v>0</v>
      </c>
      <c r="N45" s="42">
        <f>N44-M44</f>
        <v>-125.39081613830604</v>
      </c>
      <c r="O45" s="42">
        <f>O44-N44</f>
        <v>-122.88299981553973</v>
      </c>
      <c r="P45" s="42">
        <f>P44-O44</f>
        <v>-120.42533981922861</v>
      </c>
      <c r="Q45" s="36"/>
    </row>
    <row r="46" spans="1:17" x14ac:dyDescent="0.25">
      <c r="A46" s="36"/>
      <c r="B46" s="44"/>
      <c r="C46" s="44"/>
      <c r="D46" s="44"/>
      <c r="E46" s="44"/>
      <c r="F46" s="44"/>
      <c r="G46" s="44"/>
      <c r="H46" s="36"/>
      <c r="I46" s="36"/>
      <c r="J46" s="36"/>
      <c r="K46" s="44"/>
      <c r="L46" s="44"/>
      <c r="M46" s="44"/>
      <c r="N46" s="44"/>
      <c r="O46" s="44"/>
      <c r="P46" s="44"/>
      <c r="Q46" s="36"/>
    </row>
    <row r="47" spans="1:17" x14ac:dyDescent="0.25">
      <c r="A47" s="37" t="s">
        <v>47</v>
      </c>
      <c r="B47" s="44"/>
      <c r="C47" s="44"/>
      <c r="D47" s="44"/>
      <c r="E47" s="44"/>
      <c r="F47" s="44"/>
      <c r="G47" s="44"/>
      <c r="H47" s="36"/>
      <c r="I47" s="36"/>
      <c r="J47" s="37" t="s">
        <v>64</v>
      </c>
      <c r="K47" s="44"/>
      <c r="L47" s="44"/>
      <c r="M47" s="44"/>
      <c r="N47" s="44"/>
      <c r="O47" s="44"/>
      <c r="P47" s="44"/>
      <c r="Q47" s="36"/>
    </row>
    <row r="48" spans="1:17" x14ac:dyDescent="0.25">
      <c r="A48" s="38" t="s">
        <v>46</v>
      </c>
      <c r="B48" s="44"/>
      <c r="C48" s="44"/>
      <c r="D48" s="44"/>
      <c r="E48" s="44"/>
      <c r="F48" s="44"/>
      <c r="G48" s="44"/>
      <c r="H48" s="36"/>
      <c r="I48" s="36"/>
      <c r="J48" s="38" t="s">
        <v>59</v>
      </c>
      <c r="K48" s="44"/>
      <c r="L48" s="44"/>
      <c r="M48" s="44"/>
      <c r="N48" s="44"/>
      <c r="O48" s="44"/>
      <c r="P48" s="44"/>
      <c r="Q48" s="36"/>
    </row>
    <row r="49" spans="1:17" x14ac:dyDescent="0.25">
      <c r="A49" s="37" t="s">
        <v>48</v>
      </c>
      <c r="B49" s="44"/>
      <c r="C49" s="44"/>
      <c r="D49" s="44"/>
      <c r="E49" s="44"/>
      <c r="F49" s="44"/>
      <c r="G49" s="44"/>
      <c r="H49" s="36"/>
      <c r="I49" s="36"/>
      <c r="J49" s="37" t="s">
        <v>48</v>
      </c>
      <c r="K49" s="44"/>
      <c r="L49" s="44"/>
      <c r="M49" s="44"/>
      <c r="N49" s="44"/>
      <c r="O49" s="44"/>
      <c r="P49" s="44"/>
      <c r="Q49" s="36"/>
    </row>
    <row r="50" spans="1:17" x14ac:dyDescent="0.25">
      <c r="A50" s="37"/>
      <c r="B50" s="44"/>
      <c r="C50" s="44"/>
      <c r="D50" s="44"/>
      <c r="E50" s="44"/>
      <c r="F50" s="44"/>
      <c r="G50" s="44"/>
      <c r="H50" s="36"/>
      <c r="I50" s="36"/>
      <c r="J50" s="37"/>
      <c r="K50" s="44"/>
      <c r="L50" s="44"/>
      <c r="M50" s="44"/>
      <c r="N50" s="44"/>
      <c r="O50" s="44"/>
      <c r="P50" s="44"/>
      <c r="Q50" s="36"/>
    </row>
    <row r="51" spans="1:17" ht="15.75" x14ac:dyDescent="0.25">
      <c r="A51" s="39" t="s">
        <v>40</v>
      </c>
      <c r="B51" s="40" t="s">
        <v>39</v>
      </c>
      <c r="C51" s="41"/>
      <c r="D51" s="41"/>
      <c r="E51" s="40"/>
      <c r="F51" s="40"/>
      <c r="G51" s="40"/>
      <c r="H51" s="36"/>
      <c r="I51" s="36"/>
      <c r="J51" s="39" t="s">
        <v>40</v>
      </c>
      <c r="K51" s="40" t="s">
        <v>39</v>
      </c>
      <c r="L51" s="41"/>
      <c r="M51" s="41"/>
      <c r="N51" s="40"/>
      <c r="O51" s="40"/>
      <c r="P51" s="40"/>
      <c r="Q51" s="36"/>
    </row>
    <row r="52" spans="1:17" ht="18" customHeight="1" x14ac:dyDescent="0.25">
      <c r="A52" s="35" t="s">
        <v>10</v>
      </c>
      <c r="B52" s="35">
        <v>2020</v>
      </c>
      <c r="C52" s="35">
        <v>2021</v>
      </c>
      <c r="D52" s="35">
        <v>2022</v>
      </c>
      <c r="E52" s="35">
        <v>2023</v>
      </c>
      <c r="F52" s="35">
        <v>2024</v>
      </c>
      <c r="G52" s="35">
        <v>2025</v>
      </c>
      <c r="H52" s="36"/>
      <c r="I52" s="36"/>
      <c r="J52" s="35" t="s">
        <v>10</v>
      </c>
      <c r="K52" s="35">
        <v>2020</v>
      </c>
      <c r="L52" s="35">
        <v>2021</v>
      </c>
      <c r="M52" s="35">
        <v>2022</v>
      </c>
      <c r="N52" s="35">
        <v>2023</v>
      </c>
      <c r="O52" s="35">
        <v>2024</v>
      </c>
      <c r="P52" s="35">
        <v>2025</v>
      </c>
      <c r="Q52" s="36"/>
    </row>
    <row r="53" spans="1:17" x14ac:dyDescent="0.25">
      <c r="A53" s="35" t="s">
        <v>43</v>
      </c>
      <c r="B53" s="42">
        <v>14513.0399296875</v>
      </c>
      <c r="C53" s="42">
        <v>14760.015685546874</v>
      </c>
      <c r="D53" s="35"/>
      <c r="E53" s="35"/>
      <c r="F53" s="35"/>
      <c r="G53" s="35"/>
      <c r="H53" s="36"/>
      <c r="I53" s="36"/>
      <c r="J53" s="35" t="s">
        <v>43</v>
      </c>
      <c r="K53" s="42">
        <v>7786.6174741516115</v>
      </c>
      <c r="L53" s="42">
        <v>6269.5408069152836</v>
      </c>
      <c r="M53" s="35"/>
      <c r="N53" s="35"/>
      <c r="O53" s="35"/>
      <c r="P53" s="35"/>
      <c r="Q53" s="36"/>
    </row>
    <row r="54" spans="1:17" x14ac:dyDescent="0.25">
      <c r="A54" s="36" t="s">
        <v>41</v>
      </c>
      <c r="B54" s="42"/>
      <c r="C54" s="42"/>
      <c r="D54" s="35" t="s">
        <v>42</v>
      </c>
      <c r="E54" s="35"/>
      <c r="F54" s="35"/>
      <c r="G54" s="35"/>
      <c r="H54" s="36"/>
      <c r="I54" s="36"/>
      <c r="J54" s="36" t="s">
        <v>41</v>
      </c>
      <c r="K54" s="42"/>
      <c r="L54" s="42"/>
      <c r="M54" s="35" t="s">
        <v>42</v>
      </c>
      <c r="N54" s="35"/>
      <c r="O54" s="35"/>
      <c r="P54" s="35"/>
      <c r="Q54" s="36"/>
    </row>
    <row r="55" spans="1:17" x14ac:dyDescent="0.25">
      <c r="A55" s="35" t="s">
        <v>61</v>
      </c>
      <c r="B55" s="42"/>
      <c r="C55" s="42"/>
      <c r="D55" s="43">
        <v>0.25</v>
      </c>
      <c r="E55" s="43"/>
      <c r="F55" s="43">
        <v>-0.02</v>
      </c>
      <c r="G55" s="43">
        <v>-0.02</v>
      </c>
      <c r="H55" s="36"/>
      <c r="I55" s="36"/>
      <c r="J55" s="35" t="s">
        <v>61</v>
      </c>
      <c r="K55" s="42"/>
      <c r="L55" s="42"/>
      <c r="M55" s="43">
        <v>0.05</v>
      </c>
      <c r="N55" s="43"/>
      <c r="O55" s="43">
        <v>-0.02</v>
      </c>
      <c r="P55" s="43">
        <v>-0.02</v>
      </c>
      <c r="Q55" s="36"/>
    </row>
    <row r="56" spans="1:17" x14ac:dyDescent="0.25">
      <c r="A56" s="35" t="s">
        <v>51</v>
      </c>
      <c r="B56" s="42"/>
      <c r="C56" s="42"/>
      <c r="D56" s="42">
        <f>C53*(1+(D55)/12*7)</f>
        <v>16912.517973022459</v>
      </c>
      <c r="E56" s="42">
        <f>C53*(1+D55)</f>
        <v>18450.019606933594</v>
      </c>
      <c r="F56" s="42">
        <f t="shared" ref="F56:G56" si="6">0.98*E56</f>
        <v>18081.019214794924</v>
      </c>
      <c r="G56" s="42">
        <f t="shared" si="6"/>
        <v>17719.398830499023</v>
      </c>
      <c r="H56" s="36"/>
      <c r="I56" s="36"/>
      <c r="J56" s="35" t="s">
        <v>51</v>
      </c>
      <c r="K56" s="42"/>
      <c r="L56" s="42"/>
      <c r="M56" s="42">
        <f>L53*(1+(M55)/12*7)</f>
        <v>6452.402413783645</v>
      </c>
      <c r="N56" s="42">
        <f>L53*(1+M55)</f>
        <v>6583.0178472610478</v>
      </c>
      <c r="O56" s="42">
        <f t="shared" ref="O56:P56" si="7">0.98*N56</f>
        <v>6451.3574903158269</v>
      </c>
      <c r="P56" s="42">
        <f t="shared" si="7"/>
        <v>6322.3303405095103</v>
      </c>
      <c r="Q56" s="36"/>
    </row>
    <row r="57" spans="1:17" x14ac:dyDescent="0.25">
      <c r="A57" s="35" t="s">
        <v>53</v>
      </c>
      <c r="B57" s="35"/>
      <c r="C57" s="42">
        <f>C54-B54</f>
        <v>0</v>
      </c>
      <c r="D57" s="42">
        <f>D56-C53</f>
        <v>2152.502287475585</v>
      </c>
      <c r="E57" s="42">
        <f>E56-D56</f>
        <v>1537.5016339111353</v>
      </c>
      <c r="F57" s="42">
        <f>F56-E56</f>
        <v>-369.00039213867058</v>
      </c>
      <c r="G57" s="42">
        <f>G56-F56</f>
        <v>-361.62038429590029</v>
      </c>
      <c r="H57" s="36"/>
      <c r="I57" s="36"/>
      <c r="J57" s="35" t="s">
        <v>53</v>
      </c>
      <c r="K57" s="35"/>
      <c r="L57" s="42">
        <f>L54-K54</f>
        <v>0</v>
      </c>
      <c r="M57" s="42">
        <f>M56-L53</f>
        <v>182.86160686836138</v>
      </c>
      <c r="N57" s="42">
        <f>N56-M56</f>
        <v>130.6154334774028</v>
      </c>
      <c r="O57" s="42">
        <f>O56-N56</f>
        <v>-131.66035694522088</v>
      </c>
      <c r="P57" s="42">
        <f>P56-O56</f>
        <v>-129.02714980631663</v>
      </c>
      <c r="Q57" s="36"/>
    </row>
    <row r="58" spans="1:17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</row>
    <row r="59" spans="1:17" x14ac:dyDescent="0.25">
      <c r="A59" s="37" t="s">
        <v>54</v>
      </c>
      <c r="B59" s="44"/>
      <c r="C59" s="44"/>
      <c r="D59" s="44"/>
      <c r="E59" s="44"/>
      <c r="F59" s="44"/>
      <c r="G59" s="44"/>
      <c r="H59" s="36"/>
      <c r="I59" s="36"/>
      <c r="J59" s="37" t="s">
        <v>65</v>
      </c>
      <c r="K59" s="44"/>
      <c r="L59" s="44"/>
      <c r="M59" s="44"/>
      <c r="N59" s="44"/>
      <c r="O59" s="44"/>
      <c r="P59" s="44"/>
      <c r="Q59" s="36"/>
    </row>
    <row r="60" spans="1:17" x14ac:dyDescent="0.25">
      <c r="A60" s="38" t="s">
        <v>46</v>
      </c>
      <c r="B60" s="44"/>
      <c r="C60" s="44"/>
      <c r="D60" s="44"/>
      <c r="E60" s="44"/>
      <c r="F60" s="44"/>
      <c r="G60" s="44"/>
      <c r="H60" s="36"/>
      <c r="I60" s="36"/>
      <c r="J60" s="38" t="s">
        <v>59</v>
      </c>
      <c r="K60" s="44"/>
      <c r="L60" s="44"/>
      <c r="M60" s="44"/>
      <c r="N60" s="44"/>
      <c r="O60" s="44"/>
      <c r="P60" s="44"/>
      <c r="Q60" s="36"/>
    </row>
    <row r="61" spans="1:17" x14ac:dyDescent="0.25">
      <c r="A61" s="37" t="s">
        <v>58</v>
      </c>
      <c r="B61" s="44"/>
      <c r="C61" s="44"/>
      <c r="D61" s="44"/>
      <c r="E61" s="44"/>
      <c r="F61" s="44"/>
      <c r="G61" s="44"/>
      <c r="H61" s="36"/>
      <c r="I61" s="36"/>
      <c r="J61" s="37" t="s">
        <v>58</v>
      </c>
      <c r="K61" s="44"/>
      <c r="L61" s="44"/>
      <c r="M61" s="44"/>
      <c r="N61" s="44"/>
      <c r="O61" s="44"/>
      <c r="P61" s="44"/>
      <c r="Q61" s="36"/>
    </row>
    <row r="62" spans="1:17" x14ac:dyDescent="0.25">
      <c r="A62" s="37"/>
      <c r="B62" s="44"/>
      <c r="C62" s="44"/>
      <c r="D62" s="44"/>
      <c r="E62" s="44"/>
      <c r="F62" s="44"/>
      <c r="G62" s="44"/>
      <c r="H62" s="36"/>
      <c r="I62" s="36"/>
      <c r="J62" s="37"/>
      <c r="K62" s="44"/>
      <c r="L62" s="44"/>
      <c r="M62" s="44"/>
      <c r="N62" s="44"/>
      <c r="O62" s="44"/>
      <c r="P62" s="44"/>
      <c r="Q62" s="36"/>
    </row>
    <row r="63" spans="1:17" ht="15.75" x14ac:dyDescent="0.25">
      <c r="A63" s="39" t="s">
        <v>40</v>
      </c>
      <c r="B63" s="40" t="s">
        <v>39</v>
      </c>
      <c r="C63" s="41"/>
      <c r="D63" s="41"/>
      <c r="E63" s="40"/>
      <c r="F63" s="40"/>
      <c r="G63" s="40"/>
      <c r="H63" s="36"/>
      <c r="I63" s="36"/>
      <c r="J63" s="39" t="s">
        <v>40</v>
      </c>
      <c r="K63" s="40" t="s">
        <v>39</v>
      </c>
      <c r="L63" s="41"/>
      <c r="M63" s="41"/>
      <c r="N63" s="40"/>
      <c r="O63" s="40"/>
      <c r="P63" s="40"/>
      <c r="Q63" s="36"/>
    </row>
    <row r="64" spans="1:17" x14ac:dyDescent="0.25">
      <c r="A64" s="35" t="s">
        <v>10</v>
      </c>
      <c r="B64" s="35">
        <v>2020</v>
      </c>
      <c r="C64" s="35">
        <v>2021</v>
      </c>
      <c r="D64" s="35">
        <v>2022</v>
      </c>
      <c r="E64" s="35">
        <v>2023</v>
      </c>
      <c r="F64" s="35">
        <v>2024</v>
      </c>
      <c r="G64" s="35">
        <v>2025</v>
      </c>
      <c r="H64" s="36"/>
      <c r="I64" s="36"/>
      <c r="J64" s="35" t="s">
        <v>10</v>
      </c>
      <c r="K64" s="35">
        <v>2020</v>
      </c>
      <c r="L64" s="35">
        <v>2021</v>
      </c>
      <c r="M64" s="35">
        <v>2022</v>
      </c>
      <c r="N64" s="35">
        <v>2023</v>
      </c>
      <c r="O64" s="35">
        <v>2024</v>
      </c>
      <c r="P64" s="35">
        <v>2025</v>
      </c>
      <c r="Q64" s="36"/>
    </row>
    <row r="65" spans="1:17" x14ac:dyDescent="0.25">
      <c r="A65" s="35" t="s">
        <v>55</v>
      </c>
      <c r="B65" s="42">
        <f>B42</f>
        <v>14513.0399296875</v>
      </c>
      <c r="C65" s="42">
        <f>C42</f>
        <v>14760.015685546874</v>
      </c>
      <c r="D65" s="42">
        <f>D44</f>
        <v>14760.015685546874</v>
      </c>
      <c r="E65" s="42">
        <f>E44</f>
        <v>14464.815371835935</v>
      </c>
      <c r="F65" s="42">
        <f>F44</f>
        <v>14175.519064399215</v>
      </c>
      <c r="G65" s="42">
        <f>G44</f>
        <v>13892.008683111231</v>
      </c>
      <c r="H65" s="36"/>
      <c r="I65" s="36"/>
      <c r="J65" s="35" t="s">
        <v>55</v>
      </c>
      <c r="K65" s="42">
        <f>K42</f>
        <v>7786.6174741516115</v>
      </c>
      <c r="L65" s="42">
        <f>L42</f>
        <v>6269.5408069152836</v>
      </c>
      <c r="M65" s="42">
        <f>M44</f>
        <v>6269.5408069152836</v>
      </c>
      <c r="N65" s="42">
        <f>N44</f>
        <v>6144.1499907769776</v>
      </c>
      <c r="O65" s="42">
        <f>O44</f>
        <v>6021.2669909614378</v>
      </c>
      <c r="P65" s="42">
        <f>P44</f>
        <v>5900.8416511422092</v>
      </c>
      <c r="Q65" s="36"/>
    </row>
    <row r="66" spans="1:17" x14ac:dyDescent="0.25">
      <c r="A66" s="35" t="s">
        <v>56</v>
      </c>
      <c r="B66" s="42">
        <f>B53</f>
        <v>14513.0399296875</v>
      </c>
      <c r="C66" s="42">
        <f>C53</f>
        <v>14760.015685546874</v>
      </c>
      <c r="D66" s="42">
        <f>D56</f>
        <v>16912.517973022459</v>
      </c>
      <c r="E66" s="42">
        <f t="shared" ref="E66:G66" si="8">E56</f>
        <v>18450.019606933594</v>
      </c>
      <c r="F66" s="42">
        <f t="shared" si="8"/>
        <v>18081.019214794924</v>
      </c>
      <c r="G66" s="42">
        <f t="shared" si="8"/>
        <v>17719.398830499023</v>
      </c>
      <c r="H66" s="36"/>
      <c r="I66" s="36"/>
      <c r="J66" s="35" t="s">
        <v>56</v>
      </c>
      <c r="K66" s="42">
        <f>K53</f>
        <v>7786.6174741516115</v>
      </c>
      <c r="L66" s="42">
        <f>L53</f>
        <v>6269.5408069152836</v>
      </c>
      <c r="M66" s="42">
        <f>M56</f>
        <v>6452.402413783645</v>
      </c>
      <c r="N66" s="42">
        <f t="shared" ref="N66:P66" si="9">N56</f>
        <v>6583.0178472610478</v>
      </c>
      <c r="O66" s="42">
        <f t="shared" si="9"/>
        <v>6451.3574903158269</v>
      </c>
      <c r="P66" s="42">
        <f t="shared" si="9"/>
        <v>6322.3303405095103</v>
      </c>
      <c r="Q66" s="36"/>
    </row>
    <row r="67" spans="1:17" x14ac:dyDescent="0.25">
      <c r="A67" s="35" t="s">
        <v>57</v>
      </c>
      <c r="B67" s="42">
        <f>ROUND(B66-B65, -1)</f>
        <v>0</v>
      </c>
      <c r="C67" s="42">
        <f t="shared" ref="C67:G67" si="10">ROUND(C66-C65, -1)</f>
        <v>0</v>
      </c>
      <c r="D67" s="42">
        <f t="shared" si="10"/>
        <v>2150</v>
      </c>
      <c r="E67" s="42">
        <f t="shared" si="10"/>
        <v>3990</v>
      </c>
      <c r="F67" s="42">
        <f t="shared" si="10"/>
        <v>3910</v>
      </c>
      <c r="G67" s="42">
        <f t="shared" si="10"/>
        <v>3830</v>
      </c>
      <c r="H67" s="36"/>
      <c r="I67" s="36"/>
      <c r="J67" s="35" t="s">
        <v>57</v>
      </c>
      <c r="K67" s="42">
        <f>ROUND(K66-K65, -1)</f>
        <v>0</v>
      </c>
      <c r="L67" s="42">
        <f t="shared" ref="L67" si="11">ROUND(L66-L65, -1)</f>
        <v>0</v>
      </c>
      <c r="M67" s="42">
        <f t="shared" ref="M67" si="12">ROUND(M66-M65, -1)</f>
        <v>180</v>
      </c>
      <c r="N67" s="42">
        <f t="shared" ref="N67" si="13">ROUND(N66-N65, -1)</f>
        <v>440</v>
      </c>
      <c r="O67" s="42">
        <f t="shared" ref="O67" si="14">ROUND(O66-O65, -1)</f>
        <v>430</v>
      </c>
      <c r="P67" s="42">
        <f t="shared" ref="P67" si="15">ROUND(P66-P65, -1)</f>
        <v>420</v>
      </c>
      <c r="Q67" s="36"/>
    </row>
    <row r="68" spans="1:17" x14ac:dyDescent="0.25">
      <c r="A68" s="36" t="s">
        <v>60</v>
      </c>
      <c r="B68" s="36"/>
      <c r="C68" s="36"/>
      <c r="D68" s="36"/>
      <c r="E68" s="36"/>
      <c r="F68" s="36"/>
      <c r="G68" s="36"/>
      <c r="H68" s="36"/>
      <c r="I68" s="36"/>
      <c r="J68" s="36" t="s">
        <v>60</v>
      </c>
      <c r="K68" s="36"/>
      <c r="L68" s="36"/>
      <c r="M68" s="36"/>
      <c r="N68" s="36"/>
      <c r="O68" s="36"/>
      <c r="P68" s="36"/>
      <c r="Q68" s="36"/>
    </row>
    <row r="69" spans="1:17" x14ac:dyDescent="0.25">
      <c r="A69" s="36"/>
      <c r="B69" s="45"/>
      <c r="C69" s="45"/>
      <c r="D69" s="45"/>
      <c r="E69" s="45"/>
      <c r="F69" s="45"/>
      <c r="G69" s="45"/>
      <c r="H69" s="36"/>
      <c r="I69" s="36"/>
      <c r="J69" s="36"/>
      <c r="K69" s="36"/>
      <c r="L69" s="36"/>
      <c r="M69" s="36"/>
      <c r="N69" s="36"/>
      <c r="O69" s="36"/>
      <c r="P69" s="36"/>
      <c r="Q69" s="36"/>
    </row>
    <row r="70" spans="1:17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7" t="s">
        <v>66</v>
      </c>
      <c r="K70" s="44"/>
      <c r="L70" s="44"/>
      <c r="M70" s="44"/>
      <c r="N70" s="44"/>
      <c r="O70" s="44"/>
      <c r="P70" s="44"/>
      <c r="Q70" s="36"/>
    </row>
    <row r="71" spans="1:17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8" t="s">
        <v>71</v>
      </c>
      <c r="K71" s="44"/>
      <c r="L71" s="44"/>
      <c r="M71" s="44"/>
      <c r="N71" s="44"/>
      <c r="O71" s="44"/>
      <c r="P71" s="44"/>
      <c r="Q71" s="36"/>
    </row>
    <row r="72" spans="1:17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7" t="s">
        <v>58</v>
      </c>
      <c r="K72" s="44"/>
      <c r="L72" s="44"/>
      <c r="M72" s="44"/>
      <c r="N72" s="44"/>
      <c r="O72" s="44"/>
      <c r="P72" s="44"/>
      <c r="Q72" s="36"/>
    </row>
    <row r="73" spans="1:17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7"/>
      <c r="K73" s="44"/>
      <c r="L73" s="44"/>
      <c r="M73" s="44"/>
      <c r="N73" s="44"/>
      <c r="O73" s="44"/>
      <c r="P73" s="44"/>
      <c r="Q73" s="36"/>
    </row>
    <row r="74" spans="1:17" ht="15.75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9" t="s">
        <v>40</v>
      </c>
      <c r="K74" s="40" t="s">
        <v>39</v>
      </c>
      <c r="L74" s="41"/>
      <c r="M74" s="41"/>
      <c r="N74" s="40"/>
      <c r="O74" s="40"/>
      <c r="P74" s="40"/>
      <c r="Q74" s="36"/>
    </row>
    <row r="75" spans="1:17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5" t="s">
        <v>62</v>
      </c>
      <c r="K75" s="35">
        <v>2020</v>
      </c>
      <c r="L75" s="35">
        <v>2021</v>
      </c>
      <c r="M75" s="35">
        <v>2022</v>
      </c>
      <c r="N75" s="35">
        <v>2023</v>
      </c>
      <c r="O75" s="35">
        <v>2024</v>
      </c>
      <c r="P75" s="35">
        <v>2025</v>
      </c>
      <c r="Q75" s="36"/>
    </row>
    <row r="76" spans="1:17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5" t="s">
        <v>55</v>
      </c>
      <c r="K76" s="42">
        <f>B65+K65</f>
        <v>22299.657403839112</v>
      </c>
      <c r="L76" s="42">
        <f t="shared" ref="L76:P76" si="16">C65+L65</f>
        <v>21029.556492462158</v>
      </c>
      <c r="M76" s="42">
        <f t="shared" si="16"/>
        <v>21029.556492462158</v>
      </c>
      <c r="N76" s="42">
        <f t="shared" si="16"/>
        <v>20608.965362612915</v>
      </c>
      <c r="O76" s="42">
        <f t="shared" si="16"/>
        <v>20196.786055360652</v>
      </c>
      <c r="P76" s="42">
        <f t="shared" si="16"/>
        <v>19792.850334253439</v>
      </c>
      <c r="Q76" s="36"/>
    </row>
    <row r="77" spans="1:17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5" t="s">
        <v>56</v>
      </c>
      <c r="K77" s="42">
        <f>B66+K66</f>
        <v>22299.657403839112</v>
      </c>
      <c r="L77" s="42">
        <f t="shared" ref="L77" si="17">C66+L66</f>
        <v>21029.556492462158</v>
      </c>
      <c r="M77" s="42">
        <f t="shared" ref="M77" si="18">D66+M66</f>
        <v>23364.920386806105</v>
      </c>
      <c r="N77" s="42">
        <f t="shared" ref="N77" si="19">E66+N66</f>
        <v>25033.037454194644</v>
      </c>
      <c r="O77" s="42">
        <f t="shared" ref="O77" si="20">F66+O66</f>
        <v>24532.37670511075</v>
      </c>
      <c r="P77" s="42">
        <f t="shared" ref="P77" si="21">G66+P66</f>
        <v>24041.729171008534</v>
      </c>
      <c r="Q77" s="36"/>
    </row>
    <row r="78" spans="1:17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5" t="s">
        <v>57</v>
      </c>
      <c r="K78" s="42">
        <f>ROUND(K77-K76, -1)</f>
        <v>0</v>
      </c>
      <c r="L78" s="42">
        <f t="shared" ref="L78" si="22">ROUND(L77-L76, -1)</f>
        <v>0</v>
      </c>
      <c r="M78" s="42">
        <f t="shared" ref="M78" si="23">ROUND(M77-M76, -1)</f>
        <v>2340</v>
      </c>
      <c r="N78" s="42">
        <f t="shared" ref="N78" si="24">ROUND(N77-N76, -1)</f>
        <v>4420</v>
      </c>
      <c r="O78" s="42">
        <f t="shared" ref="O78" si="25">ROUND(O77-O76, -1)</f>
        <v>4340</v>
      </c>
      <c r="P78" s="42">
        <f t="shared" ref="P78" si="26">ROUND(P77-P76, -1)</f>
        <v>4250</v>
      </c>
      <c r="Q78" s="36"/>
    </row>
    <row r="79" spans="1:17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 t="s">
        <v>60</v>
      </c>
      <c r="K79" s="45"/>
      <c r="L79" s="45"/>
      <c r="M79" s="45"/>
      <c r="N79" s="45"/>
      <c r="O79" s="45"/>
      <c r="P79" s="45"/>
      <c r="Q79" s="36"/>
    </row>
    <row r="80" spans="1:17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</row>
    <row r="81" spans="1:17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</row>
    <row r="82" spans="1:17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</row>
    <row r="83" spans="1:17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</row>
    <row r="84" spans="1:17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</row>
    <row r="85" spans="1:17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</row>
    <row r="86" spans="1:17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</row>
  </sheetData>
  <pageMargins left="0.75" right="0.75" top="1" bottom="1" header="0.5" footer="0.5"/>
  <pageSetup orientation="portrait" horizontalDpi="4294967293" verticalDpi="0" r:id="rId1"/>
  <headerFooter alignWithMargins="0"/>
  <ignoredErrors>
    <ignoredError sqref="D54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topLeftCell="A43" workbookViewId="0">
      <selection activeCell="A20" sqref="A20"/>
    </sheetView>
  </sheetViews>
  <sheetFormatPr defaultColWidth="9.7109375" defaultRowHeight="15" outlineLevelRow="1" x14ac:dyDescent="0.25"/>
  <cols>
    <col min="1" max="1" width="50.7109375" customWidth="1"/>
    <col min="2" max="7" width="9.7109375" customWidth="1"/>
    <col min="8" max="9" width="12.140625" customWidth="1"/>
    <col min="10" max="10" width="50.7109375" customWidth="1"/>
    <col min="11" max="11" width="19.85546875" customWidth="1"/>
    <col min="12" max="12" width="4" customWidth="1"/>
    <col min="13" max="14" width="19.85546875" customWidth="1"/>
    <col min="15" max="15" width="4" customWidth="1"/>
    <col min="16" max="16" width="19.85546875" customWidth="1"/>
    <col min="17" max="17" width="11.42578125" bestFit="1" customWidth="1"/>
  </cols>
  <sheetData>
    <row r="1" spans="1:16" ht="15.75" thickBot="1" x14ac:dyDescent="0.3"/>
    <row r="2" spans="1:16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x14ac:dyDescent="0.25">
      <c r="A3" s="4" t="s">
        <v>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x14ac:dyDescent="0.25">
      <c r="A4" s="7"/>
      <c r="B4" s="8">
        <v>2020</v>
      </c>
      <c r="C4" s="8"/>
      <c r="D4" s="8"/>
      <c r="E4" s="8"/>
      <c r="F4" s="8">
        <v>2021</v>
      </c>
      <c r="G4" s="8"/>
      <c r="H4" s="9"/>
      <c r="I4" s="9"/>
      <c r="J4" s="9"/>
      <c r="K4" s="8">
        <v>2019</v>
      </c>
      <c r="L4" s="8"/>
      <c r="M4" s="8" t="s">
        <v>21</v>
      </c>
      <c r="N4" s="8" t="s">
        <v>22</v>
      </c>
      <c r="O4" s="8"/>
      <c r="P4" s="10" t="s">
        <v>23</v>
      </c>
    </row>
    <row r="5" spans="1:16" x14ac:dyDescent="0.25">
      <c r="A5" s="11" t="s">
        <v>24</v>
      </c>
      <c r="B5" s="8" t="s">
        <v>25</v>
      </c>
      <c r="C5" s="8" t="s">
        <v>26</v>
      </c>
      <c r="D5" s="8" t="s">
        <v>27</v>
      </c>
      <c r="E5" s="8" t="s">
        <v>28</v>
      </c>
      <c r="F5" s="8" t="s">
        <v>25</v>
      </c>
      <c r="G5" s="8" t="s">
        <v>26</v>
      </c>
      <c r="H5" s="9" t="s">
        <v>27</v>
      </c>
      <c r="I5" s="9" t="s">
        <v>29</v>
      </c>
      <c r="J5" s="9"/>
      <c r="K5" s="8">
        <v>2019</v>
      </c>
      <c r="L5" s="8"/>
      <c r="M5" s="8"/>
      <c r="N5" s="8"/>
      <c r="O5" s="8"/>
      <c r="P5" s="10"/>
    </row>
    <row r="6" spans="1:16" x14ac:dyDescent="0.25">
      <c r="A6" s="12" t="s">
        <v>0</v>
      </c>
      <c r="B6" s="13">
        <v>6073315.6200000001</v>
      </c>
      <c r="C6" s="13">
        <v>5336654.9700000007</v>
      </c>
      <c r="D6" s="13">
        <v>6233972.0299999993</v>
      </c>
      <c r="E6" s="13">
        <v>6127898.6899999976</v>
      </c>
      <c r="F6" s="13">
        <v>7671545.0499999998</v>
      </c>
      <c r="G6" s="13">
        <v>7959373.5699999984</v>
      </c>
      <c r="H6" s="14">
        <v>5800000</v>
      </c>
      <c r="I6" s="14">
        <v>7600000</v>
      </c>
      <c r="J6" s="14"/>
      <c r="K6" s="13">
        <v>24888437.959999993</v>
      </c>
      <c r="L6" s="13"/>
      <c r="M6" s="13">
        <v>24888437.959999993</v>
      </c>
      <c r="N6" s="13">
        <v>23771841.309999995</v>
      </c>
      <c r="O6" s="13"/>
      <c r="P6" s="15">
        <f>SUM(F6:G6)</f>
        <v>15630918.619999997</v>
      </c>
    </row>
    <row r="7" spans="1:16" x14ac:dyDescent="0.25">
      <c r="A7" s="16" t="s">
        <v>30</v>
      </c>
      <c r="B7" s="13"/>
      <c r="C7" s="13"/>
      <c r="D7" s="13"/>
      <c r="E7" s="13">
        <f>SUM(B6:E6)</f>
        <v>23771841.309999995</v>
      </c>
      <c r="F7" s="13">
        <f>SUM(C6:F6)</f>
        <v>25370070.739999998</v>
      </c>
      <c r="G7" s="13">
        <f>SUM(D6:G6)</f>
        <v>27992789.339999996</v>
      </c>
      <c r="H7" s="13">
        <f>SUM(E6:H6)</f>
        <v>27558817.309999995</v>
      </c>
      <c r="I7" s="13">
        <f>SUM(F6:I6)</f>
        <v>29030918.619999997</v>
      </c>
      <c r="J7" s="14"/>
      <c r="K7" s="13">
        <v>24888437.959999993</v>
      </c>
      <c r="L7" s="13"/>
      <c r="M7" s="13">
        <v>24888437.959999993</v>
      </c>
      <c r="N7" s="13">
        <v>23771841.309999995</v>
      </c>
      <c r="O7" s="13"/>
      <c r="P7" s="15">
        <v>15630918.619999997</v>
      </c>
    </row>
    <row r="8" spans="1:16" x14ac:dyDescent="0.25">
      <c r="A8" s="17"/>
      <c r="B8" s="18"/>
      <c r="C8" s="18"/>
      <c r="D8" s="18"/>
      <c r="E8" s="18"/>
      <c r="F8" s="19">
        <f>F7/E7-1</f>
        <v>6.72320418581831E-2</v>
      </c>
      <c r="G8" s="19">
        <f>G7/F7-1</f>
        <v>0.10337845041420635</v>
      </c>
      <c r="H8" s="19">
        <f>H7/G7-1</f>
        <v>-1.5502993457671699E-2</v>
      </c>
      <c r="I8" s="19">
        <f>I7/E7-1</f>
        <v>0.2212313821810552</v>
      </c>
      <c r="J8" s="18"/>
      <c r="K8" s="18"/>
      <c r="L8" s="18"/>
      <c r="M8" s="18"/>
      <c r="N8" s="18"/>
      <c r="O8" s="18"/>
      <c r="P8" s="20"/>
    </row>
    <row r="9" spans="1:16" hidden="1" outlineLevel="1" x14ac:dyDescent="0.25">
      <c r="A9" s="7"/>
      <c r="B9" s="5"/>
      <c r="C9" s="5"/>
      <c r="D9" s="5"/>
      <c r="E9" s="5"/>
      <c r="F9" s="5"/>
      <c r="G9" s="5"/>
      <c r="H9" s="21">
        <v>0.25</v>
      </c>
      <c r="I9" s="13">
        <f>I7*(1+H9)</f>
        <v>36288648.274999999</v>
      </c>
      <c r="J9" s="5"/>
      <c r="K9" s="18">
        <f>I9-I7</f>
        <v>7257729.6550000012</v>
      </c>
      <c r="L9" s="5"/>
      <c r="M9" s="5"/>
      <c r="N9" s="5"/>
      <c r="O9" s="5"/>
      <c r="P9" s="6"/>
    </row>
    <row r="10" spans="1:16" hidden="1" outlineLevel="1" x14ac:dyDescent="0.25">
      <c r="A10" s="4" t="s">
        <v>31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</row>
    <row r="11" spans="1:16" hidden="1" outlineLevel="1" x14ac:dyDescent="0.25">
      <c r="A11" s="7"/>
      <c r="B11" s="8">
        <v>2020</v>
      </c>
      <c r="C11" s="8"/>
      <c r="D11" s="8"/>
      <c r="E11" s="8"/>
      <c r="F11" s="8">
        <v>2021</v>
      </c>
      <c r="G11" s="8"/>
      <c r="H11" s="9"/>
      <c r="I11" s="9"/>
      <c r="J11" s="9"/>
      <c r="K11" s="8">
        <v>2019</v>
      </c>
      <c r="L11" s="8"/>
      <c r="M11" s="8" t="s">
        <v>21</v>
      </c>
      <c r="N11" s="8" t="s">
        <v>22</v>
      </c>
      <c r="O11" s="8"/>
      <c r="P11" s="10" t="s">
        <v>23</v>
      </c>
    </row>
    <row r="12" spans="1:16" hidden="1" outlineLevel="1" x14ac:dyDescent="0.25">
      <c r="A12" s="11" t="s">
        <v>24</v>
      </c>
      <c r="B12" s="8" t="s">
        <v>25</v>
      </c>
      <c r="C12" s="8" t="s">
        <v>26</v>
      </c>
      <c r="D12" s="8" t="s">
        <v>27</v>
      </c>
      <c r="E12" s="8" t="s">
        <v>28</v>
      </c>
      <c r="F12" s="8" t="s">
        <v>25</v>
      </c>
      <c r="G12" s="8" t="s">
        <v>26</v>
      </c>
      <c r="H12" s="9"/>
      <c r="I12" s="9"/>
      <c r="J12" s="9"/>
      <c r="K12" s="8">
        <v>2019</v>
      </c>
      <c r="L12" s="8"/>
      <c r="M12" s="8"/>
      <c r="N12" s="8"/>
      <c r="O12" s="8"/>
      <c r="P12" s="10"/>
    </row>
    <row r="13" spans="1:16" hidden="1" outlineLevel="1" x14ac:dyDescent="0.25">
      <c r="A13" s="12" t="s">
        <v>0</v>
      </c>
      <c r="B13" s="13">
        <v>212635.4</v>
      </c>
      <c r="C13" s="13">
        <v>185300.7</v>
      </c>
      <c r="D13" s="13">
        <v>217896.1</v>
      </c>
      <c r="E13" s="13">
        <v>208029.3</v>
      </c>
      <c r="F13" s="13">
        <v>245879.39999999997</v>
      </c>
      <c r="G13" s="13">
        <v>255289.3</v>
      </c>
      <c r="H13" s="14"/>
      <c r="I13" s="14"/>
      <c r="J13" s="14"/>
      <c r="K13" s="13">
        <v>869993.70000000019</v>
      </c>
      <c r="L13" s="13"/>
      <c r="M13" s="13">
        <v>869993.70000000019</v>
      </c>
      <c r="N13" s="13">
        <v>823861.5</v>
      </c>
      <c r="O13" s="13"/>
      <c r="P13" s="15">
        <v>501168.69999999995</v>
      </c>
    </row>
    <row r="14" spans="1:16" hidden="1" outlineLevel="1" x14ac:dyDescent="0.25">
      <c r="A14" s="16" t="s">
        <v>32</v>
      </c>
      <c r="B14" s="13">
        <v>212635.4</v>
      </c>
      <c r="C14" s="13">
        <v>185300.7</v>
      </c>
      <c r="D14" s="13">
        <v>217896.1</v>
      </c>
      <c r="E14" s="13">
        <v>208029.3</v>
      </c>
      <c r="F14" s="13">
        <v>245879.39999999997</v>
      </c>
      <c r="G14" s="13">
        <v>255289.3</v>
      </c>
      <c r="H14" s="14"/>
      <c r="I14" s="14"/>
      <c r="J14" s="14"/>
      <c r="K14" s="13">
        <v>869993.70000000019</v>
      </c>
      <c r="L14" s="13"/>
      <c r="M14" s="13">
        <v>869993.70000000019</v>
      </c>
      <c r="N14" s="13">
        <v>823861.5</v>
      </c>
      <c r="O14" s="13"/>
      <c r="P14" s="15">
        <v>501168.69999999995</v>
      </c>
    </row>
    <row r="15" spans="1:16" hidden="1" outlineLevel="1" x14ac:dyDescent="0.25"/>
    <row r="16" spans="1:16" collapsed="1" x14ac:dyDescent="0.25"/>
    <row r="17" spans="1:8" x14ac:dyDescent="0.25">
      <c r="A17" s="23"/>
      <c r="B17" s="24">
        <v>2020</v>
      </c>
      <c r="C17" s="24">
        <v>2021</v>
      </c>
      <c r="D17" s="24">
        <v>2022</v>
      </c>
      <c r="E17" s="24">
        <v>2023</v>
      </c>
      <c r="F17" s="24">
        <v>2024</v>
      </c>
      <c r="G17" s="24">
        <v>2025</v>
      </c>
      <c r="H17" s="33"/>
    </row>
    <row r="18" spans="1:8" x14ac:dyDescent="0.25">
      <c r="A18" s="25"/>
      <c r="B18" s="29">
        <f>SUM(B6:E6)</f>
        <v>23771841.309999995</v>
      </c>
      <c r="C18" s="29">
        <f>SUM(D6:G6)</f>
        <v>27992789.339999996</v>
      </c>
      <c r="D18" s="29">
        <f>C18*1.15</f>
        <v>32191707.740999993</v>
      </c>
      <c r="E18" s="29">
        <f>0.98*1.3*C18</f>
        <v>35662813.619159997</v>
      </c>
      <c r="F18" s="29">
        <f>0.98*E18</f>
        <v>34949557.346776798</v>
      </c>
      <c r="G18" s="29">
        <f>0.98*F18</f>
        <v>34250566.199841261</v>
      </c>
      <c r="H18" s="33"/>
    </row>
    <row r="19" spans="1:8" x14ac:dyDescent="0.25">
      <c r="A19" s="23"/>
      <c r="B19" s="30">
        <f t="shared" ref="B19:G19" si="0">SUM(B18:B18)</f>
        <v>23771841.309999995</v>
      </c>
      <c r="C19" s="30">
        <f t="shared" si="0"/>
        <v>27992789.339999996</v>
      </c>
      <c r="D19" s="30">
        <f t="shared" si="0"/>
        <v>32191707.740999993</v>
      </c>
      <c r="E19" s="30">
        <f t="shared" si="0"/>
        <v>35662813.619159997</v>
      </c>
      <c r="F19" s="30">
        <f t="shared" si="0"/>
        <v>34949557.346776798</v>
      </c>
      <c r="G19" s="30">
        <f t="shared" si="0"/>
        <v>34250566.199841261</v>
      </c>
      <c r="H19" s="33"/>
    </row>
    <row r="20" spans="1:8" x14ac:dyDescent="0.25">
      <c r="A20" s="33"/>
      <c r="B20" s="33"/>
      <c r="C20" s="33"/>
      <c r="D20" s="33"/>
      <c r="E20" s="33"/>
      <c r="F20" s="33"/>
      <c r="G20" s="33"/>
      <c r="H20" s="33"/>
    </row>
    <row r="21" spans="1:8" x14ac:dyDescent="0.25">
      <c r="A21" s="23"/>
      <c r="B21" s="24">
        <v>2020</v>
      </c>
      <c r="C21" s="24">
        <v>2021</v>
      </c>
      <c r="D21" s="24">
        <v>2022</v>
      </c>
      <c r="E21" s="24">
        <v>2023</v>
      </c>
      <c r="F21" s="24">
        <v>2024</v>
      </c>
      <c r="G21" s="24">
        <v>2025</v>
      </c>
      <c r="H21" s="33"/>
    </row>
    <row r="22" spans="1:8" x14ac:dyDescent="0.25">
      <c r="A22" s="25"/>
      <c r="B22" s="29">
        <f>SUM(B6:E6)</f>
        <v>23771841.309999995</v>
      </c>
      <c r="C22" s="29">
        <f>C18</f>
        <v>27992789.339999996</v>
      </c>
      <c r="D22" s="29">
        <f>0.98*C22</f>
        <v>27432933.553199995</v>
      </c>
      <c r="E22" s="29">
        <f>0.98*D22</f>
        <v>26884274.882135995</v>
      </c>
      <c r="F22" s="29">
        <f>0.98*E22</f>
        <v>26346589.384493273</v>
      </c>
      <c r="G22" s="29">
        <f>0.98*F22</f>
        <v>25819657.596803408</v>
      </c>
      <c r="H22" s="33" t="s">
        <v>34</v>
      </c>
    </row>
    <row r="23" spans="1:8" x14ac:dyDescent="0.25">
      <c r="A23" s="23"/>
      <c r="B23" s="30">
        <f t="shared" ref="B23:G23" si="1">SUM(B22:B22)</f>
        <v>23771841.309999995</v>
      </c>
      <c r="C23" s="30">
        <f t="shared" si="1"/>
        <v>27992789.339999996</v>
      </c>
      <c r="D23" s="30">
        <f t="shared" si="1"/>
        <v>27432933.553199995</v>
      </c>
      <c r="E23" s="30">
        <f t="shared" si="1"/>
        <v>26884274.882135995</v>
      </c>
      <c r="F23" s="30">
        <f t="shared" si="1"/>
        <v>26346589.384493273</v>
      </c>
      <c r="G23" s="30">
        <f t="shared" si="1"/>
        <v>25819657.596803408</v>
      </c>
      <c r="H23" s="33"/>
    </row>
    <row r="24" spans="1:8" x14ac:dyDescent="0.25">
      <c r="A24" s="33"/>
      <c r="B24" s="33"/>
      <c r="C24" s="33"/>
      <c r="D24" s="33"/>
      <c r="E24" s="33"/>
      <c r="F24" s="33"/>
      <c r="G24" s="33"/>
      <c r="H24" s="33"/>
    </row>
    <row r="25" spans="1:8" x14ac:dyDescent="0.25">
      <c r="A25" s="23"/>
      <c r="B25" s="24">
        <v>2020</v>
      </c>
      <c r="C25" s="24">
        <v>2021</v>
      </c>
      <c r="D25" s="24">
        <v>2022</v>
      </c>
      <c r="E25" s="24">
        <v>2023</v>
      </c>
      <c r="F25" s="24">
        <v>2024</v>
      </c>
      <c r="G25" s="24">
        <v>2025</v>
      </c>
      <c r="H25" s="33"/>
    </row>
    <row r="26" spans="1:8" x14ac:dyDescent="0.25">
      <c r="A26" s="25"/>
      <c r="B26" s="29">
        <f>SUM(B10:E10)</f>
        <v>0</v>
      </c>
      <c r="C26" s="29">
        <f>C18-C22</f>
        <v>0</v>
      </c>
      <c r="D26" s="29">
        <f>D18-D22</f>
        <v>4758774.1877999976</v>
      </c>
      <c r="E26" s="29">
        <f>E18-E22</f>
        <v>8778538.7370240018</v>
      </c>
      <c r="F26" s="29">
        <f>F18-F22</f>
        <v>8602967.9622835256</v>
      </c>
      <c r="G26" s="29">
        <f>G18-G22</f>
        <v>8430908.6030378528</v>
      </c>
      <c r="H26" s="33"/>
    </row>
    <row r="27" spans="1:8" x14ac:dyDescent="0.25">
      <c r="A27" s="23"/>
      <c r="B27" s="30">
        <f t="shared" ref="B27:G27" si="2">SUM(B26:B26)</f>
        <v>0</v>
      </c>
      <c r="C27" s="30">
        <f t="shared" si="2"/>
        <v>0</v>
      </c>
      <c r="D27" s="30">
        <f t="shared" si="2"/>
        <v>4758774.1877999976</v>
      </c>
      <c r="E27" s="30">
        <f t="shared" si="2"/>
        <v>8778538.7370240018</v>
      </c>
      <c r="F27" s="30">
        <f t="shared" si="2"/>
        <v>8602967.9622835256</v>
      </c>
      <c r="G27" s="30">
        <f t="shared" si="2"/>
        <v>8430908.6030378528</v>
      </c>
      <c r="H27" s="33"/>
    </row>
    <row r="28" spans="1:8" x14ac:dyDescent="0.25">
      <c r="A28" s="33" t="s">
        <v>35</v>
      </c>
      <c r="B28" s="33"/>
      <c r="C28" s="33">
        <f>ROUND(C27/1000,-2)</f>
        <v>0</v>
      </c>
      <c r="D28" s="33">
        <f>ROUND(D27/1000,-1)</f>
        <v>4760</v>
      </c>
      <c r="E28" s="33">
        <f t="shared" ref="E28:G28" si="3">ROUND(E27/1000,-1)</f>
        <v>8780</v>
      </c>
      <c r="F28" s="33">
        <f t="shared" si="3"/>
        <v>8600</v>
      </c>
      <c r="G28" s="33">
        <f t="shared" si="3"/>
        <v>8430</v>
      </c>
      <c r="H28" s="33"/>
    </row>
    <row r="31" spans="1:8" x14ac:dyDescent="0.25">
      <c r="A31" s="33" t="s">
        <v>33</v>
      </c>
      <c r="B31" s="34">
        <v>-0.02</v>
      </c>
    </row>
    <row r="32" spans="1:8" x14ac:dyDescent="0.25">
      <c r="A32" s="33" t="s">
        <v>36</v>
      </c>
      <c r="B32" s="34">
        <v>0.3</v>
      </c>
    </row>
    <row r="35" spans="1:9" s="23" customFormat="1" x14ac:dyDescent="0.25"/>
    <row r="36" spans="1:9" s="23" customFormat="1" x14ac:dyDescent="0.25">
      <c r="A36" s="36"/>
      <c r="B36" s="36"/>
      <c r="C36" s="36"/>
      <c r="D36" s="36"/>
      <c r="E36" s="36"/>
      <c r="F36" s="36"/>
      <c r="G36" s="36"/>
      <c r="H36" s="36"/>
      <c r="I36" s="36"/>
    </row>
    <row r="37" spans="1:9" s="23" customFormat="1" x14ac:dyDescent="0.25">
      <c r="A37" s="37" t="s">
        <v>68</v>
      </c>
      <c r="B37" s="36"/>
      <c r="C37" s="36"/>
      <c r="D37" s="36"/>
      <c r="E37" s="36"/>
      <c r="F37" s="36"/>
      <c r="G37" s="36"/>
      <c r="H37" s="36"/>
      <c r="I37" s="36"/>
    </row>
    <row r="38" spans="1:9" s="23" customFormat="1" x14ac:dyDescent="0.25">
      <c r="A38" s="38" t="s">
        <v>67</v>
      </c>
      <c r="B38" s="36"/>
      <c r="C38" s="36"/>
      <c r="D38" s="36"/>
      <c r="E38" s="36"/>
      <c r="F38" s="36"/>
      <c r="G38" s="36"/>
      <c r="H38" s="36"/>
      <c r="I38" s="36"/>
    </row>
    <row r="39" spans="1:9" s="23" customFormat="1" x14ac:dyDescent="0.25">
      <c r="A39" s="37" t="s">
        <v>45</v>
      </c>
      <c r="B39" s="36"/>
      <c r="C39" s="36"/>
      <c r="D39" s="36"/>
      <c r="E39" s="36"/>
      <c r="F39" s="36"/>
      <c r="G39" s="36"/>
      <c r="H39" s="36"/>
      <c r="I39" s="36"/>
    </row>
    <row r="40" spans="1:9" s="23" customFormat="1" x14ac:dyDescent="0.25">
      <c r="A40" s="37"/>
      <c r="B40" s="36"/>
      <c r="C40" s="36"/>
      <c r="D40" s="36"/>
      <c r="E40" s="36"/>
      <c r="F40" s="36"/>
      <c r="G40" s="36"/>
      <c r="H40" s="36"/>
      <c r="I40" s="36"/>
    </row>
    <row r="41" spans="1:9" s="23" customFormat="1" ht="20.25" customHeight="1" x14ac:dyDescent="0.25">
      <c r="A41" s="39" t="s">
        <v>40</v>
      </c>
      <c r="B41" s="40" t="s">
        <v>39</v>
      </c>
      <c r="C41" s="41"/>
      <c r="D41" s="41"/>
      <c r="E41" s="40"/>
      <c r="F41" s="40"/>
      <c r="G41" s="40"/>
      <c r="H41" s="36"/>
      <c r="I41" s="36"/>
    </row>
    <row r="42" spans="1:9" s="23" customFormat="1" ht="18" customHeight="1" x14ac:dyDescent="0.25">
      <c r="A42" s="35"/>
      <c r="B42" s="35">
        <v>2020</v>
      </c>
      <c r="C42" s="35">
        <v>2021</v>
      </c>
      <c r="D42" s="35">
        <v>2022</v>
      </c>
      <c r="E42" s="35">
        <v>2023</v>
      </c>
      <c r="F42" s="35">
        <v>2024</v>
      </c>
      <c r="G42" s="35">
        <v>2025</v>
      </c>
      <c r="H42" s="36"/>
      <c r="I42" s="36"/>
    </row>
    <row r="43" spans="1:9" s="23" customFormat="1" x14ac:dyDescent="0.25">
      <c r="A43" s="35" t="s">
        <v>43</v>
      </c>
      <c r="B43" s="42">
        <f>B19/1000</f>
        <v>23771.841309999996</v>
      </c>
      <c r="C43" s="42">
        <f>C19/1000</f>
        <v>27992.789339999996</v>
      </c>
      <c r="D43" s="36"/>
      <c r="E43" s="36"/>
      <c r="F43" s="36"/>
      <c r="G43" s="36"/>
      <c r="H43" s="36"/>
      <c r="I43" s="36"/>
    </row>
    <row r="44" spans="1:9" s="23" customFormat="1" x14ac:dyDescent="0.25">
      <c r="A44" s="35" t="s">
        <v>52</v>
      </c>
      <c r="B44" s="42"/>
      <c r="C44" s="42"/>
      <c r="D44" s="43">
        <v>0</v>
      </c>
      <c r="E44" s="43">
        <v>-0.02</v>
      </c>
      <c r="F44" s="43">
        <v>-0.02</v>
      </c>
      <c r="G44" s="43">
        <v>-0.02</v>
      </c>
      <c r="H44" s="36"/>
      <c r="I44" s="36"/>
    </row>
    <row r="45" spans="1:9" s="23" customFormat="1" x14ac:dyDescent="0.25">
      <c r="A45" s="35" t="s">
        <v>51</v>
      </c>
      <c r="B45" s="42"/>
      <c r="C45" s="42"/>
      <c r="D45" s="42">
        <f>C43</f>
        <v>27992.789339999996</v>
      </c>
      <c r="E45" s="42">
        <f t="shared" ref="E45:G45" si="4">0.98*D45</f>
        <v>27432.933553199997</v>
      </c>
      <c r="F45" s="42">
        <f t="shared" si="4"/>
        <v>26884.274882135996</v>
      </c>
      <c r="G45" s="42">
        <f t="shared" si="4"/>
        <v>26346.589384493276</v>
      </c>
      <c r="H45" s="36"/>
      <c r="I45" s="36"/>
    </row>
    <row r="46" spans="1:9" s="23" customFormat="1" x14ac:dyDescent="0.25">
      <c r="A46" s="35" t="s">
        <v>53</v>
      </c>
      <c r="B46" s="35"/>
      <c r="C46" s="42">
        <f>C43-B43</f>
        <v>4220.9480299999996</v>
      </c>
      <c r="D46" s="42">
        <f>D45-C43</f>
        <v>0</v>
      </c>
      <c r="E46" s="42">
        <f>E45-D45</f>
        <v>-559.8557867999989</v>
      </c>
      <c r="F46" s="42">
        <f>F45-E45</f>
        <v>-548.65867106400037</v>
      </c>
      <c r="G46" s="42">
        <f>G45-F45</f>
        <v>-537.68549764272029</v>
      </c>
      <c r="H46" s="36"/>
      <c r="I46" s="36"/>
    </row>
    <row r="47" spans="1:9" s="23" customFormat="1" x14ac:dyDescent="0.25">
      <c r="A47" s="36"/>
      <c r="B47" s="44"/>
      <c r="C47" s="44"/>
      <c r="D47" s="44"/>
      <c r="E47" s="44"/>
      <c r="F47" s="44"/>
      <c r="G47" s="44"/>
      <c r="H47" s="36"/>
      <c r="I47" s="36"/>
    </row>
    <row r="48" spans="1:9" s="23" customFormat="1" x14ac:dyDescent="0.25">
      <c r="A48" s="37" t="s">
        <v>69</v>
      </c>
      <c r="B48" s="44"/>
      <c r="C48" s="44"/>
      <c r="D48" s="44"/>
      <c r="E48" s="44"/>
      <c r="F48" s="44"/>
      <c r="G48" s="44"/>
      <c r="H48" s="36"/>
      <c r="I48" s="36"/>
    </row>
    <row r="49" spans="1:9" s="23" customFormat="1" x14ac:dyDescent="0.25">
      <c r="A49" s="38" t="s">
        <v>67</v>
      </c>
      <c r="B49" s="44"/>
      <c r="C49" s="44"/>
      <c r="D49" s="44"/>
      <c r="E49" s="44"/>
      <c r="F49" s="44"/>
      <c r="G49" s="44"/>
      <c r="H49" s="36"/>
      <c r="I49" s="36"/>
    </row>
    <row r="50" spans="1:9" s="23" customFormat="1" x14ac:dyDescent="0.25">
      <c r="A50" s="37" t="s">
        <v>48</v>
      </c>
      <c r="B50" s="44"/>
      <c r="C50" s="44"/>
      <c r="D50" s="44"/>
      <c r="E50" s="44"/>
      <c r="F50" s="44"/>
      <c r="G50" s="44"/>
      <c r="H50" s="36"/>
      <c r="I50" s="36"/>
    </row>
    <row r="51" spans="1:9" s="23" customFormat="1" x14ac:dyDescent="0.25">
      <c r="A51" s="37"/>
      <c r="B51" s="44"/>
      <c r="C51" s="44"/>
      <c r="D51" s="44"/>
      <c r="E51" s="44"/>
      <c r="F51" s="44"/>
      <c r="G51" s="44"/>
      <c r="H51" s="36"/>
      <c r="I51" s="36"/>
    </row>
    <row r="52" spans="1:9" s="23" customFormat="1" ht="15.75" x14ac:dyDescent="0.25">
      <c r="A52" s="39" t="s">
        <v>40</v>
      </c>
      <c r="B52" s="40" t="s">
        <v>39</v>
      </c>
      <c r="C52" s="41"/>
      <c r="D52" s="41"/>
      <c r="E52" s="40"/>
      <c r="F52" s="40"/>
      <c r="G52" s="40"/>
      <c r="H52" s="36"/>
      <c r="I52" s="36"/>
    </row>
    <row r="53" spans="1:9" s="23" customFormat="1" ht="18" customHeight="1" x14ac:dyDescent="0.25">
      <c r="A53" s="35"/>
      <c r="B53" s="35">
        <v>2020</v>
      </c>
      <c r="C53" s="35">
        <v>2021</v>
      </c>
      <c r="D53" s="35">
        <v>2022</v>
      </c>
      <c r="E53" s="35">
        <v>2023</v>
      </c>
      <c r="F53" s="35">
        <v>2024</v>
      </c>
      <c r="G53" s="35">
        <v>2025</v>
      </c>
      <c r="H53" s="36"/>
      <c r="I53" s="36"/>
    </row>
    <row r="54" spans="1:9" s="23" customFormat="1" x14ac:dyDescent="0.25">
      <c r="A54" s="35" t="s">
        <v>43</v>
      </c>
      <c r="B54" s="42">
        <f>B43</f>
        <v>23771.841309999996</v>
      </c>
      <c r="C54" s="42">
        <f>C43</f>
        <v>27992.789339999996</v>
      </c>
      <c r="D54" s="35"/>
      <c r="E54" s="35"/>
      <c r="F54" s="35"/>
      <c r="G54" s="35"/>
      <c r="H54" s="36"/>
      <c r="I54" s="36"/>
    </row>
    <row r="55" spans="1:9" s="23" customFormat="1" x14ac:dyDescent="0.25">
      <c r="A55" s="36" t="s">
        <v>41</v>
      </c>
      <c r="B55" s="42"/>
      <c r="C55" s="42"/>
      <c r="D55" s="35" t="s">
        <v>42</v>
      </c>
      <c r="E55" s="35"/>
      <c r="F55" s="35"/>
      <c r="G55" s="35"/>
      <c r="H55" s="36"/>
      <c r="I55" s="36"/>
    </row>
    <row r="56" spans="1:9" s="23" customFormat="1" x14ac:dyDescent="0.25">
      <c r="A56" s="35" t="s">
        <v>61</v>
      </c>
      <c r="B56" s="42"/>
      <c r="C56" s="42"/>
      <c r="D56" s="43">
        <v>0.3</v>
      </c>
      <c r="E56" s="43"/>
      <c r="F56" s="43">
        <v>-0.02</v>
      </c>
      <c r="G56" s="43">
        <v>-0.02</v>
      </c>
      <c r="H56" s="36"/>
      <c r="I56" s="36"/>
    </row>
    <row r="57" spans="1:9" s="23" customFormat="1" x14ac:dyDescent="0.25">
      <c r="A57" s="35" t="s">
        <v>51</v>
      </c>
      <c r="B57" s="42"/>
      <c r="C57" s="42"/>
      <c r="D57" s="42">
        <f>C54*(1+(D56)/12*7)</f>
        <v>32891.527474499999</v>
      </c>
      <c r="E57" s="42">
        <f>C54*(1+D56)</f>
        <v>36390.626141999994</v>
      </c>
      <c r="F57" s="42">
        <f t="shared" ref="F57:G57" si="5">0.98*E57</f>
        <v>35662.813619159992</v>
      </c>
      <c r="G57" s="42">
        <f t="shared" si="5"/>
        <v>34949.55734677679</v>
      </c>
      <c r="H57" s="36"/>
      <c r="I57" s="36"/>
    </row>
    <row r="58" spans="1:9" s="23" customFormat="1" x14ac:dyDescent="0.25">
      <c r="A58" s="35" t="s">
        <v>53</v>
      </c>
      <c r="B58" s="35"/>
      <c r="C58" s="42">
        <f>C55-B55</f>
        <v>0</v>
      </c>
      <c r="D58" s="42">
        <f>D57-C54</f>
        <v>4898.7381345000031</v>
      </c>
      <c r="E58" s="42">
        <f>E57-D57</f>
        <v>3499.0986674999949</v>
      </c>
      <c r="F58" s="42">
        <f>F57-E57</f>
        <v>-727.8125228400022</v>
      </c>
      <c r="G58" s="42">
        <f>G57-F57</f>
        <v>-713.25627238320158</v>
      </c>
      <c r="H58" s="36"/>
      <c r="I58" s="36"/>
    </row>
    <row r="59" spans="1:9" s="23" customFormat="1" x14ac:dyDescent="0.25">
      <c r="A59" s="36"/>
      <c r="B59" s="36"/>
      <c r="C59" s="36"/>
      <c r="D59" s="36"/>
      <c r="E59" s="36"/>
      <c r="F59" s="36"/>
      <c r="G59" s="36"/>
      <c r="H59" s="36"/>
      <c r="I59" s="36"/>
    </row>
    <row r="60" spans="1:9" s="23" customFormat="1" x14ac:dyDescent="0.25">
      <c r="A60" s="37" t="s">
        <v>70</v>
      </c>
      <c r="B60" s="44"/>
      <c r="C60" s="44"/>
      <c r="D60" s="44"/>
      <c r="E60" s="44"/>
      <c r="F60" s="44"/>
      <c r="G60" s="44"/>
      <c r="H60" s="36"/>
      <c r="I60" s="36"/>
    </row>
    <row r="61" spans="1:9" s="23" customFormat="1" x14ac:dyDescent="0.25">
      <c r="A61" s="38" t="s">
        <v>67</v>
      </c>
      <c r="B61" s="44"/>
      <c r="C61" s="44"/>
      <c r="D61" s="44"/>
      <c r="E61" s="44"/>
      <c r="F61" s="44"/>
      <c r="G61" s="44"/>
      <c r="H61" s="36"/>
      <c r="I61" s="36"/>
    </row>
    <row r="62" spans="1:9" s="23" customFormat="1" x14ac:dyDescent="0.25">
      <c r="A62" s="37" t="s">
        <v>58</v>
      </c>
      <c r="B62" s="44"/>
      <c r="C62" s="44"/>
      <c r="D62" s="44"/>
      <c r="E62" s="44"/>
      <c r="F62" s="44"/>
      <c r="G62" s="44"/>
      <c r="H62" s="36"/>
      <c r="I62" s="36"/>
    </row>
    <row r="63" spans="1:9" s="23" customFormat="1" x14ac:dyDescent="0.25">
      <c r="A63" s="37"/>
      <c r="B63" s="44"/>
      <c r="C63" s="44"/>
      <c r="D63" s="44"/>
      <c r="E63" s="44"/>
      <c r="F63" s="44"/>
      <c r="G63" s="44"/>
      <c r="H63" s="36"/>
      <c r="I63" s="36"/>
    </row>
    <row r="64" spans="1:9" s="23" customFormat="1" ht="15.75" x14ac:dyDescent="0.25">
      <c r="A64" s="39" t="s">
        <v>40</v>
      </c>
      <c r="B64" s="40" t="s">
        <v>39</v>
      </c>
      <c r="C64" s="41"/>
      <c r="D64" s="41"/>
      <c r="E64" s="40"/>
      <c r="F64" s="40"/>
      <c r="G64" s="40"/>
      <c r="H64" s="36"/>
      <c r="I64" s="36"/>
    </row>
    <row r="65" spans="1:9" s="23" customFormat="1" x14ac:dyDescent="0.25">
      <c r="A65" s="35"/>
      <c r="B65" s="35">
        <v>2020</v>
      </c>
      <c r="C65" s="35">
        <v>2021</v>
      </c>
      <c r="D65" s="35">
        <v>2022</v>
      </c>
      <c r="E65" s="35">
        <v>2023</v>
      </c>
      <c r="F65" s="35">
        <v>2024</v>
      </c>
      <c r="G65" s="35">
        <v>2025</v>
      </c>
      <c r="H65" s="36"/>
      <c r="I65" s="36"/>
    </row>
    <row r="66" spans="1:9" s="23" customFormat="1" x14ac:dyDescent="0.25">
      <c r="A66" s="35" t="s">
        <v>55</v>
      </c>
      <c r="B66" s="42">
        <f>B43</f>
        <v>23771.841309999996</v>
      </c>
      <c r="C66" s="42">
        <f>C43</f>
        <v>27992.789339999996</v>
      </c>
      <c r="D66" s="42">
        <f>D45</f>
        <v>27992.789339999996</v>
      </c>
      <c r="E66" s="42">
        <f>E45</f>
        <v>27432.933553199997</v>
      </c>
      <c r="F66" s="42">
        <f>F45</f>
        <v>26884.274882135996</v>
      </c>
      <c r="G66" s="42">
        <f>G45</f>
        <v>26346.589384493276</v>
      </c>
      <c r="H66" s="36"/>
      <c r="I66" s="36"/>
    </row>
    <row r="67" spans="1:9" s="23" customFormat="1" x14ac:dyDescent="0.25">
      <c r="A67" s="35" t="s">
        <v>56</v>
      </c>
      <c r="B67" s="42">
        <f>B54</f>
        <v>23771.841309999996</v>
      </c>
      <c r="C67" s="42">
        <f>C54</f>
        <v>27992.789339999996</v>
      </c>
      <c r="D67" s="42">
        <f>D57</f>
        <v>32891.527474499999</v>
      </c>
      <c r="E67" s="42">
        <f t="shared" ref="E67:G67" si="6">E57</f>
        <v>36390.626141999994</v>
      </c>
      <c r="F67" s="42">
        <f t="shared" si="6"/>
        <v>35662.813619159992</v>
      </c>
      <c r="G67" s="42">
        <f t="shared" si="6"/>
        <v>34949.55734677679</v>
      </c>
      <c r="H67" s="36"/>
      <c r="I67" s="36"/>
    </row>
    <row r="68" spans="1:9" s="23" customFormat="1" x14ac:dyDescent="0.25">
      <c r="A68" s="35" t="s">
        <v>57</v>
      </c>
      <c r="B68" s="42">
        <f>ROUND(B67-B66, -1)</f>
        <v>0</v>
      </c>
      <c r="C68" s="42">
        <f t="shared" ref="C68:G68" si="7">ROUND(C67-C66, -1)</f>
        <v>0</v>
      </c>
      <c r="D68" s="42">
        <f t="shared" si="7"/>
        <v>4900</v>
      </c>
      <c r="E68" s="42">
        <f t="shared" si="7"/>
        <v>8960</v>
      </c>
      <c r="F68" s="42">
        <f t="shared" si="7"/>
        <v>8780</v>
      </c>
      <c r="G68" s="42">
        <f t="shared" si="7"/>
        <v>8600</v>
      </c>
      <c r="H68" s="36"/>
      <c r="I68" s="36"/>
    </row>
    <row r="69" spans="1:9" s="23" customFormat="1" x14ac:dyDescent="0.25">
      <c r="A69" s="36" t="s">
        <v>60</v>
      </c>
      <c r="B69" s="36"/>
      <c r="C69" s="36"/>
      <c r="D69" s="36"/>
      <c r="E69" s="36"/>
      <c r="F69" s="36"/>
      <c r="G69" s="36"/>
      <c r="H69" s="36"/>
      <c r="I69" s="36"/>
    </row>
    <row r="70" spans="1:9" s="23" customFormat="1" x14ac:dyDescent="0.25">
      <c r="A70" s="36"/>
      <c r="B70" s="45"/>
      <c r="C70" s="45"/>
      <c r="D70" s="45"/>
      <c r="E70" s="45"/>
      <c r="F70" s="45"/>
      <c r="G70" s="45"/>
      <c r="H70" s="36"/>
      <c r="I70" s="36"/>
    </row>
    <row r="71" spans="1:9" s="23" customFormat="1" x14ac:dyDescent="0.25">
      <c r="A71" s="36"/>
      <c r="B71" s="36"/>
      <c r="C71" s="36"/>
      <c r="D71" s="36"/>
      <c r="E71" s="36"/>
      <c r="F71" s="36"/>
      <c r="G71" s="36"/>
      <c r="H71" s="36"/>
      <c r="I71" s="36"/>
    </row>
    <row r="72" spans="1:9" s="23" customFormat="1" x14ac:dyDescent="0.25">
      <c r="A72" s="36"/>
      <c r="B72" s="36"/>
      <c r="C72" s="36"/>
      <c r="D72" s="36"/>
      <c r="E72" s="36"/>
      <c r="F72" s="36"/>
      <c r="G72" s="36"/>
      <c r="H72" s="36"/>
      <c r="I72" s="36"/>
    </row>
    <row r="73" spans="1:9" s="23" customFormat="1" x14ac:dyDescent="0.25">
      <c r="A73" s="36"/>
      <c r="B73" s="36"/>
      <c r="C73" s="36"/>
      <c r="D73" s="36"/>
      <c r="E73" s="36"/>
      <c r="F73" s="36"/>
      <c r="G73" s="36"/>
      <c r="H73" s="36"/>
      <c r="I73" s="36"/>
    </row>
    <row r="74" spans="1:9" s="23" customFormat="1" x14ac:dyDescent="0.25">
      <c r="A74" s="36"/>
      <c r="B74" s="36"/>
      <c r="C74" s="36"/>
      <c r="D74" s="36"/>
      <c r="E74" s="36"/>
      <c r="F74" s="36"/>
      <c r="G74" s="36"/>
      <c r="H74" s="36"/>
      <c r="I74" s="36"/>
    </row>
    <row r="75" spans="1:9" s="23" customFormat="1" x14ac:dyDescent="0.25">
      <c r="A75" s="36"/>
      <c r="B75" s="36"/>
      <c r="C75" s="36"/>
      <c r="D75" s="36"/>
      <c r="E75" s="36"/>
      <c r="F75" s="36"/>
      <c r="G75" s="36"/>
      <c r="H75" s="36"/>
      <c r="I75" s="36"/>
    </row>
    <row r="76" spans="1:9" s="23" customFormat="1" x14ac:dyDescent="0.25">
      <c r="A76" s="36"/>
      <c r="B76" s="36"/>
      <c r="C76" s="36"/>
      <c r="D76" s="36"/>
      <c r="E76" s="36"/>
      <c r="F76" s="36"/>
      <c r="G76" s="36"/>
      <c r="H76" s="36"/>
      <c r="I76" s="36"/>
    </row>
    <row r="77" spans="1:9" s="23" customFormat="1" x14ac:dyDescent="0.25">
      <c r="A77" s="36"/>
      <c r="B77" s="36"/>
      <c r="C77" s="36"/>
      <c r="D77" s="36"/>
      <c r="E77" s="36"/>
      <c r="F77" s="36"/>
      <c r="G77" s="36"/>
      <c r="H77" s="36"/>
      <c r="I77" s="36"/>
    </row>
    <row r="78" spans="1:9" s="23" customFormat="1" x14ac:dyDescent="0.25">
      <c r="A78" s="36"/>
      <c r="B78" s="36"/>
      <c r="C78" s="36"/>
      <c r="D78" s="36"/>
      <c r="E78" s="36"/>
      <c r="F78" s="36"/>
      <c r="G78" s="36"/>
      <c r="H78" s="36"/>
      <c r="I78" s="36"/>
    </row>
    <row r="79" spans="1:9" s="23" customFormat="1" x14ac:dyDescent="0.25">
      <c r="A79" s="36"/>
      <c r="B79" s="36"/>
      <c r="C79" s="36"/>
      <c r="D79" s="36"/>
      <c r="E79" s="36"/>
      <c r="F79" s="36"/>
      <c r="G79" s="36"/>
      <c r="H79" s="36"/>
      <c r="I79" s="36"/>
    </row>
    <row r="80" spans="1:9" s="23" customFormat="1" x14ac:dyDescent="0.25">
      <c r="A80" s="36"/>
      <c r="B80" s="36"/>
      <c r="C80" s="36"/>
      <c r="D80" s="36"/>
      <c r="E80" s="36"/>
      <c r="F80" s="36"/>
      <c r="G80" s="36"/>
      <c r="H80" s="36"/>
      <c r="I80" s="36"/>
    </row>
    <row r="81" spans="1:9" s="23" customFormat="1" x14ac:dyDescent="0.25">
      <c r="A81" s="36"/>
      <c r="B81" s="36"/>
      <c r="C81" s="36"/>
      <c r="D81" s="36"/>
      <c r="E81" s="36"/>
      <c r="F81" s="36"/>
      <c r="G81" s="36"/>
      <c r="H81" s="36"/>
      <c r="I81" s="36"/>
    </row>
    <row r="82" spans="1:9" s="23" customFormat="1" x14ac:dyDescent="0.25">
      <c r="A82" s="36"/>
      <c r="B82" s="36"/>
      <c r="C82" s="36"/>
      <c r="D82" s="36"/>
      <c r="E82" s="36"/>
      <c r="F82" s="36"/>
      <c r="G82" s="36"/>
      <c r="H82" s="36"/>
      <c r="I82" s="36"/>
    </row>
    <row r="83" spans="1:9" s="23" customFormat="1" x14ac:dyDescent="0.25">
      <c r="A83" s="36"/>
      <c r="B83" s="36"/>
      <c r="C83" s="36"/>
      <c r="D83" s="36"/>
      <c r="E83" s="36"/>
      <c r="F83" s="36"/>
      <c r="G83" s="36"/>
      <c r="H83" s="36"/>
      <c r="I83" s="36"/>
    </row>
    <row r="84" spans="1:9" s="23" customFormat="1" x14ac:dyDescent="0.25">
      <c r="A84" s="36"/>
      <c r="B84" s="36"/>
      <c r="C84" s="36"/>
      <c r="D84" s="36"/>
      <c r="E84" s="36"/>
      <c r="F84" s="36"/>
      <c r="G84" s="36"/>
      <c r="H84" s="36"/>
      <c r="I84" s="36"/>
    </row>
    <row r="85" spans="1:9" s="23" customFormat="1" x14ac:dyDescent="0.25">
      <c r="A85" s="36"/>
      <c r="B85" s="36"/>
      <c r="C85" s="36"/>
      <c r="D85" s="36"/>
      <c r="E85" s="36"/>
      <c r="F85" s="36"/>
      <c r="G85" s="36"/>
      <c r="H85" s="36"/>
      <c r="I85" s="36"/>
    </row>
    <row r="86" spans="1:9" s="23" customFormat="1" x14ac:dyDescent="0.25">
      <c r="A86" s="36"/>
      <c r="B86" s="36"/>
      <c r="C86" s="36"/>
      <c r="D86" s="36"/>
      <c r="E86" s="36"/>
      <c r="F86" s="36"/>
      <c r="G86" s="36"/>
      <c r="H86" s="36"/>
      <c r="I86" s="36"/>
    </row>
    <row r="87" spans="1:9" s="23" customFormat="1" x14ac:dyDescent="0.25">
      <c r="A87" s="36"/>
      <c r="B87" s="36"/>
      <c r="C87" s="36"/>
      <c r="D87" s="36"/>
      <c r="E87" s="36"/>
      <c r="F87" s="36"/>
      <c r="G87" s="36"/>
      <c r="H87" s="36"/>
      <c r="I87" s="36"/>
    </row>
    <row r="88" spans="1:9" s="23" customFormat="1" x14ac:dyDescent="0.25"/>
    <row r="89" spans="1:9" s="23" customFormat="1" x14ac:dyDescent="0.25"/>
    <row r="90" spans="1:9" s="23" customFormat="1" x14ac:dyDescent="0.25"/>
    <row r="91" spans="1:9" s="23" customFormat="1" x14ac:dyDescent="0.25"/>
    <row r="92" spans="1:9" s="23" customFormat="1" x14ac:dyDescent="0.25"/>
    <row r="93" spans="1:9" s="23" customFormat="1" x14ac:dyDescent="0.25"/>
    <row r="94" spans="1:9" s="23" customFormat="1" x14ac:dyDescent="0.25"/>
    <row r="95" spans="1:9" s="23" customFormat="1" x14ac:dyDescent="0.25"/>
    <row r="96" spans="1:9" s="23" customFormat="1" x14ac:dyDescent="0.25"/>
    <row r="97" spans="10:19" s="23" customFormat="1" x14ac:dyDescent="0.25"/>
    <row r="98" spans="10:19" s="23" customFormat="1" x14ac:dyDescent="0.25">
      <c r="J98" s="46"/>
      <c r="K98" s="46"/>
      <c r="L98" s="46"/>
      <c r="M98" s="46"/>
      <c r="N98" s="46"/>
      <c r="O98" s="46"/>
      <c r="P98" s="46"/>
      <c r="Q98" s="46"/>
      <c r="R98" s="46"/>
      <c r="S98" s="46"/>
    </row>
    <row r="99" spans="10:19" s="23" customFormat="1" x14ac:dyDescent="0.25">
      <c r="J99" s="46"/>
      <c r="K99" s="46"/>
      <c r="L99" s="46"/>
      <c r="M99" s="46"/>
      <c r="N99" s="46"/>
      <c r="O99" s="46"/>
      <c r="P99" s="46"/>
      <c r="Q99" s="46"/>
      <c r="R99" s="46"/>
      <c r="S99" s="46"/>
    </row>
    <row r="100" spans="10:19" s="23" customFormat="1" x14ac:dyDescent="0.25"/>
    <row r="101" spans="10:19" s="23" customFormat="1" x14ac:dyDescent="0.25"/>
    <row r="102" spans="10:19" s="23" customFormat="1" x14ac:dyDescent="0.25"/>
    <row r="103" spans="10:19" s="23" customFormat="1" x14ac:dyDescent="0.25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A5E1276DFB746BD7CFE5AE33518E0" ma:contentTypeVersion="13" ma:contentTypeDescription="Create a new document." ma:contentTypeScope="" ma:versionID="6c7253c02871c1ccb72cce5fce464f48">
  <xsd:schema xmlns:xsd="http://www.w3.org/2001/XMLSchema" xmlns:xs="http://www.w3.org/2001/XMLSchema" xmlns:p="http://schemas.microsoft.com/office/2006/metadata/properties" xmlns:ns3="8e315341-d697-45bd-8d49-2ca1460a1534" xmlns:ns4="8b3e1e0c-ec6e-4573-bcdf-b528afd6e76c" targetNamespace="http://schemas.microsoft.com/office/2006/metadata/properties" ma:root="true" ma:fieldsID="85bbddfb65905bbea6ce01efe2d53341" ns3:_="" ns4:_="">
    <xsd:import namespace="8e315341-d697-45bd-8d49-2ca1460a1534"/>
    <xsd:import namespace="8b3e1e0c-ec6e-4573-bcdf-b528afd6e7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15341-d697-45bd-8d49-2ca1460a15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e1e0c-ec6e-4573-bcdf-b528afd6e7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E1166B-D3AB-4BCF-AD96-99700F5B74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A82921-F146-411F-A715-51A7D9B59D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15341-d697-45bd-8d49-2ca1460a1534"/>
    <ds:schemaRef ds:uri="8b3e1e0c-ec6e-4573-bcdf-b528afd6e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DB9062-6362-49DB-9690-5BA778554629}">
  <ds:schemaRefs>
    <ds:schemaRef ds:uri="http://schemas.microsoft.com/office/infopath/2007/PartnerControls"/>
    <ds:schemaRef ds:uri="8e315341-d697-45bd-8d49-2ca1460a1534"/>
    <ds:schemaRef ds:uri="http://purl.org/dc/elements/1.1/"/>
    <ds:schemaRef ds:uri="http://schemas.microsoft.com/office/2006/metadata/properties"/>
    <ds:schemaRef ds:uri="8b3e1e0c-ec6e-4573-bcdf-b528afd6e7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Dopad total</vt:lpstr>
      <vt:lpstr>IGs</vt:lpstr>
      <vt:lpstr>LMWHs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Bielčiková Jana</dc:creator>
  <cp:lastModifiedBy>Polák Peter</cp:lastModifiedBy>
  <cp:lastPrinted>2021-03-09T11:20:16Z</cp:lastPrinted>
  <dcterms:created xsi:type="dcterms:W3CDTF">2021-03-03T10:04:56Z</dcterms:created>
  <dcterms:modified xsi:type="dcterms:W3CDTF">2022-03-30T08:17:56Z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0x010100A7EA5E1276DFB746BD7CFE5AE33518E0</vt:lpwstr>
  </property>
</Properties>
</file>