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120" yWindow="15" windowWidth="15195" windowHeight="8190" firstSheet="1" activeTab="1"/>
  </bookViews>
  <sheets>
    <sheet name="CCP" sheetId="1" state="hidden" r:id="rId2"/>
    <sheet name="zakladné ukazovatele" sheetId="2" r:id="rId3"/>
    <sheet name="§ 32" sheetId="16" r:id="rId4"/>
    <sheet name="§ 43" sheetId="18" r:id="rId5"/>
    <sheet name="§ 46 a 47" sheetId="6" r:id="rId6"/>
    <sheet name="§ 49" sheetId="13" r:id="rId7"/>
    <sheet name="§ 50" sheetId="3" r:id="rId8"/>
    <sheet name="§ 50j" sheetId="34" r:id="rId9"/>
    <sheet name="§ 51" sheetId="4" r:id="rId10"/>
    <sheet name="§ 53" sheetId="5" r:id="rId11"/>
    <sheet name="§ 53a" sheetId="45" r:id="rId12"/>
    <sheet name="§ 56" sheetId="25" r:id="rId13"/>
    <sheet name="§ 56a" sheetId="10" r:id="rId14"/>
    <sheet name="§ 57" sheetId="44" r:id="rId15"/>
    <sheet name="§ 59" sheetId="39" r:id="rId16"/>
    <sheet name="§ 60" sheetId="11" r:id="rId17"/>
    <sheet name="2010-2012-2015 (zaokruhlene)" sheetId="38" r:id="rId18"/>
    <sheet name="Hárok1" sheetId="46" r:id="rId19"/>
  </sheets>
  <definedNames>
    <definedName name="_xlnm.Print_Area" localSheetId="8">'§ 51'!$A$1:$G$20</definedName>
    <definedName name="_xlnm.Print_Area" localSheetId="12">'§ 56a'!$A$1:$M$29</definedName>
  </definedNames>
  <calcPr fullCalcOnLoad="1"/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<sst xmlns="http://schemas.openxmlformats.org/spreadsheetml/2006/main" count="792" uniqueCount="251">
  <si>
    <t>Celková cena práce:</t>
  </si>
  <si>
    <t>Poistné platené zamestnávateľom</t>
  </si>
  <si>
    <t>PM za 1. až 3. štvrťrok 2010</t>
  </si>
  <si>
    <t>sadzby</t>
  </si>
  <si>
    <t>starobné poistenie</t>
  </si>
  <si>
    <t>nemocenské poistenie</t>
  </si>
  <si>
    <t>poistenie v nezamestnanosti</t>
  </si>
  <si>
    <t>invalidné poistenie</t>
  </si>
  <si>
    <t>úrazové poistenie</t>
  </si>
  <si>
    <t>garančné poistenie</t>
  </si>
  <si>
    <t>rezervný fond solidarity</t>
  </si>
  <si>
    <t>zdravotné poistenie</t>
  </si>
  <si>
    <t>Odvody spolu</t>
  </si>
  <si>
    <t>CCP (mzda + odvody)</t>
  </si>
  <si>
    <t>MM 2011</t>
  </si>
  <si>
    <t>MM 80 %</t>
  </si>
  <si>
    <t>MM 70 %</t>
  </si>
  <si>
    <t>Poistné platené zamestnancom PM za 1. až 3. štvrťrok 2010</t>
  </si>
  <si>
    <t>Poistné platené zamestnancom MM 2011</t>
  </si>
  <si>
    <t>Poistné platené zamestnancom MM 80 %</t>
  </si>
  <si>
    <t>Poistné platené zamestnancom MM 70 %</t>
  </si>
  <si>
    <t xml:space="preserve">Životné minimum pre jednu plnoletú fyzickú osobu od 1.7.2010 </t>
  </si>
  <si>
    <t>1) Zdroj: Štatistický úrad SR</t>
  </si>
  <si>
    <r>
      <t xml:space="preserve">Výška </t>
    </r>
    <r>
      <rPr>
        <b/>
        <sz val="10"/>
        <rFont val="Arial"/>
        <family val="2"/>
        <charset val="238"/>
      </rPr>
      <t>priemernej mesačnej mzdy</t>
    </r>
    <r>
      <rPr>
        <sz val="10"/>
        <rFont val="Arial"/>
        <family val="0"/>
        <charset val="238"/>
      </rPr>
      <t xml:space="preserve"> zamestnanca v hospodárstve SR za I. až III štvrťrok 2010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</si>
  <si>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r>
      <t xml:space="preserve">Minimálna mzda </t>
    </r>
    <r>
      <rPr>
        <sz val="10"/>
        <rFont val="Arial"/>
        <family val="0"/>
        <charset val="238"/>
      </rPr>
      <t>od 1. januára 2011</t>
    </r>
  </si>
  <si>
    <t>3) Zdroj: Prognóza vybraných indikátorov vývoja ekonomiky SR, IFP (MF SR), september 2010</t>
  </si>
  <si>
    <t>CCP z 2-násobku ŽM (od 1.7.2011 do 30.6.2012)</t>
  </si>
  <si>
    <t>Odhad CCP z 2-násobku ŽM (od 1.7.2012 do 30.6.2013)</t>
  </si>
  <si>
    <t>CCP z MM (2011)</t>
  </si>
  <si>
    <t>Odhad CCP z PM (2012) pre rok 2013</t>
  </si>
  <si>
    <t>Odhad CCP z PM (2013) pre rok 2014</t>
  </si>
  <si>
    <t xml:space="preserve">CCP MM: </t>
  </si>
  <si>
    <t xml:space="preserve">CCP PM: </t>
  </si>
  <si>
    <r>
      <t xml:space="preserve">Minimálna mzda </t>
    </r>
    <r>
      <rPr>
        <sz val="10"/>
        <rFont val="Arial"/>
        <family val="2"/>
        <charset val="238"/>
      </rPr>
      <t xml:space="preserve">od 1. januára 2014 </t>
    </r>
    <r>
      <rPr>
        <b/>
        <sz val="10"/>
        <rFont val="Arial"/>
        <family val="2"/>
        <charset val="238"/>
      </rPr>
      <t>- odhad (index rastu 3,0)</t>
    </r>
  </si>
  <si>
    <t>§ 51 Príspevok na vykonávanie absolventskej praxe</t>
  </si>
  <si>
    <t>ŽM od 1.7.2011:</t>
  </si>
  <si>
    <t>ŽM od 1.7.2012:</t>
  </si>
  <si>
    <t>ŽM od 1.7.2013:</t>
  </si>
  <si>
    <t>ŽM od 1.7.2014:</t>
  </si>
  <si>
    <t>Odhad výšky ŽM</t>
  </si>
  <si>
    <t>Max. počet mesiacov: 6</t>
  </si>
  <si>
    <t>Predp. počet podporených UoZ:</t>
  </si>
  <si>
    <t>Priemer ŽM 2012:</t>
  </si>
  <si>
    <t>Priemer ŽM 2013:</t>
  </si>
  <si>
    <t>Priemer ŽM 2014:</t>
  </si>
  <si>
    <t>BA kraj</t>
  </si>
  <si>
    <t>kraj s MEN ≤ Ø SR</t>
  </si>
  <si>
    <t>kraj s MEN &gt; Ø SR</t>
  </si>
  <si>
    <t>Ø / mesiac</t>
  </si>
  <si>
    <t>Ø / rok</t>
  </si>
  <si>
    <t>§ 53 Príspevok na dochádzku za prácou</t>
  </si>
  <si>
    <t>Ø výška tarify / 1 cesta</t>
  </si>
  <si>
    <t>Ø výška tarify / deň</t>
  </si>
  <si>
    <t>Ø cestovné / mesiac (denná tarifa x 21 dní)</t>
  </si>
  <si>
    <t>Výška príspevku</t>
  </si>
  <si>
    <t>90 % z Ø</t>
  </si>
  <si>
    <t>80 % z Ø</t>
  </si>
  <si>
    <t>70 % z Ø</t>
  </si>
  <si>
    <t>§ 46 Vzdelávanie a príprava pre trh práce uchádzača o zamestnanie</t>
  </si>
  <si>
    <t>a) vzdelávanie a príprava pre trh práce zabezpečovaná úradom PSVR</t>
  </si>
  <si>
    <t>úhrada 100 % nákladov vzdelávania a prípravy pre trh práce</t>
  </si>
  <si>
    <t>Ø suma na 1 UoZ</t>
  </si>
  <si>
    <t>Celkom</t>
  </si>
  <si>
    <t>nad 200 km</t>
  </si>
  <si>
    <t>od 5 km do 10 km</t>
  </si>
  <si>
    <t>od 11 km do 20 km</t>
  </si>
  <si>
    <t>od 21 km do 30 km</t>
  </si>
  <si>
    <t>od 31 km do 40 km</t>
  </si>
  <si>
    <t>od 51 km do 60 km</t>
  </si>
  <si>
    <t>od 41 km do 50 km</t>
  </si>
  <si>
    <t>od 61 km do 80 km</t>
  </si>
  <si>
    <t>od 81 km do 100 km</t>
  </si>
  <si>
    <t>od 101 km do 200 km</t>
  </si>
  <si>
    <t>60 % z Ø</t>
  </si>
  <si>
    <t>Suma príspevku/mesiac</t>
  </si>
  <si>
    <t xml:space="preserve">Ø mesiac </t>
  </si>
  <si>
    <t>Ø za 6 mesiacov</t>
  </si>
  <si>
    <t>Ø suma fin. prostriedkov pre jednotlivé pásma</t>
  </si>
  <si>
    <t>Vzdialenostné pásma</t>
  </si>
  <si>
    <t>Predp. počet podpor. UoZ</t>
  </si>
  <si>
    <t>§ 56 - Príspevok na zriadenie chránenej dielne alebo chráneného pracoviska</t>
  </si>
  <si>
    <t>Predpoklad</t>
  </si>
  <si>
    <t>Predpokladaný počet podporených PM:</t>
  </si>
  <si>
    <t>§ 56a Príspevok na udržanie občana so zdravotným postihnutím v zamestnaní</t>
  </si>
  <si>
    <t>Priemerná suma príspevku:</t>
  </si>
  <si>
    <t>§ 60 Príspevok na úhradu prevádzkových nákladov chránenej dielne alebo chráneného pracoviska a na úhradu nákladov na dopravu zamestnancov</t>
  </si>
  <si>
    <t>Predpokladaný počet podporených zamestnancov so ZP:</t>
  </si>
  <si>
    <t>Ø suma / mesiac</t>
  </si>
  <si>
    <t>Ø suma / rok</t>
  </si>
  <si>
    <t>Predp. počet PM</t>
  </si>
  <si>
    <t>Predpokladaná suma celkom</t>
  </si>
  <si>
    <t>Spolu:</t>
  </si>
  <si>
    <t>Predp. počet UoZ</t>
  </si>
  <si>
    <t>Celkom:</t>
  </si>
  <si>
    <t>Spolu</t>
  </si>
  <si>
    <t>ročné zvýšenie o 4,5 %</t>
  </si>
  <si>
    <t>§ 49 - Príspevok na samostatnú zárobkovú činnosť</t>
  </si>
  <si>
    <t>Odhad</t>
  </si>
  <si>
    <t>§ 32a Sprostredkovanie zamestnania verejnými službami zamestnanosti</t>
  </si>
  <si>
    <t>skupinového sprostredkovania zamestnania</t>
  </si>
  <si>
    <t xml:space="preserve">vstupného pohovoru, výberového konania </t>
  </si>
  <si>
    <t>úhrada časti cestovných nákladov súvisiacich s absolvovaním</t>
  </si>
  <si>
    <t>a)</t>
  </si>
  <si>
    <t>b)</t>
  </si>
  <si>
    <t>Úhrada</t>
  </si>
  <si>
    <t>podľa a)</t>
  </si>
  <si>
    <t>podľa b)</t>
  </si>
  <si>
    <t>Počet podp. UoZ</t>
  </si>
  <si>
    <t>§ 43 Odborné poradenské služby</t>
  </si>
  <si>
    <t xml:space="preserve">úhrada výdavkov na </t>
  </si>
  <si>
    <t xml:space="preserve">stravovanie, ubytovanie a cestovné </t>
  </si>
  <si>
    <t>služby pre rodinu s deťmi</t>
  </si>
  <si>
    <t>z MM</t>
  </si>
  <si>
    <t>priemer</t>
  </si>
  <si>
    <t>počet podp. PM</t>
  </si>
  <si>
    <t>Ø dĺžka poskytovania (mes.)</t>
  </si>
  <si>
    <t>Celkový objem fin. prostriedkov</t>
  </si>
  <si>
    <t>§ 43</t>
  </si>
  <si>
    <t>§ 49</t>
  </si>
  <si>
    <t>§ 51</t>
  </si>
  <si>
    <t>§ 53</t>
  </si>
  <si>
    <t>§ 53a</t>
  </si>
  <si>
    <t>§ 54</t>
  </si>
  <si>
    <t>§ 56</t>
  </si>
  <si>
    <t>§ 56a</t>
  </si>
  <si>
    <t>§ 57</t>
  </si>
  <si>
    <t>§ 60</t>
  </si>
  <si>
    <t>Predpokladaný počet podporených UoZ/zamestnancov</t>
  </si>
  <si>
    <t>§ 50c</t>
  </si>
  <si>
    <t>celkom</t>
  </si>
  <si>
    <t xml:space="preserve">Celkom </t>
  </si>
  <si>
    <t>Odhad CCP z MM (2013)</t>
  </si>
  <si>
    <t>Odhad CCP z MM (2014)</t>
  </si>
  <si>
    <t>Odhad CCP z 80 % MM (2012)</t>
  </si>
  <si>
    <t>Odhad CCP z 80 % MM (2014)</t>
  </si>
  <si>
    <t>Odhad CCP z 80 % MM (2013)</t>
  </si>
  <si>
    <t>§ 50 Príspevok na podporu zamestnávania znevýhodneného uchádzača o zamestnanie</t>
  </si>
  <si>
    <t>Predpokladaný počet podp. PM</t>
  </si>
  <si>
    <t>počet</t>
  </si>
  <si>
    <t>mesiace</t>
  </si>
  <si>
    <t>Odhad CCP z 2-násobku ŽM (od 1.7.2013 do 30.6.2014)</t>
  </si>
  <si>
    <t>z PM</t>
  </si>
  <si>
    <t>§ 50j</t>
  </si>
  <si>
    <t>§ 59</t>
  </si>
  <si>
    <t>§ 59 Príspevok na činnosť pracovného asistenta</t>
  </si>
  <si>
    <r>
      <t>Výška priemernej mesačnej mzdy zamestnanca za I. až III štvrťrok 2011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0"/>
        <charset val="238"/>
      </rPr>
      <t>:</t>
    </r>
  </si>
  <si>
    <t>CCP z PM (2011) pre rok 2012</t>
  </si>
  <si>
    <r>
      <t>Minimálna mzda</t>
    </r>
    <r>
      <rPr>
        <sz val="10"/>
        <rFont val="Arial"/>
        <family val="2"/>
        <charset val="238"/>
      </rPr>
      <t xml:space="preserve"> od 1. januára 2012 </t>
    </r>
  </si>
  <si>
    <r>
      <t xml:space="preserve">Suma životného minima pre jednu plnoletú fyzickú osobu </t>
    </r>
    <r>
      <rPr>
        <b/>
        <sz val="10"/>
        <rFont val="Arial"/>
        <family val="2"/>
        <charset val="238"/>
      </rPr>
      <t xml:space="preserve">od 1.7.2011 </t>
    </r>
  </si>
  <si>
    <t>PM:</t>
  </si>
  <si>
    <r>
      <t>Odhad sumy životného minima pre jednu plnoletú fyzickú osobu od 1.7.2013 (index rastu 2,5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0"/>
        <charset val="238"/>
      </rPr>
      <t>)</t>
    </r>
  </si>
  <si>
    <t>Priemer. mesačná suma:</t>
  </si>
  <si>
    <t>Priemer. počet mesiacov: 4</t>
  </si>
  <si>
    <t>§ 52a</t>
  </si>
  <si>
    <t>Predpokladaný počet podporených PM ročne:</t>
  </si>
  <si>
    <t>Predpokladaný počet podp. PM štvrťročne:</t>
  </si>
  <si>
    <t>Odhad CCP z PM (2014) pre rok 2015</t>
  </si>
  <si>
    <r>
      <t>Odhad sumy životného minima pre jednu plnoletú fyzickú osobu od 1.7.2014 (index rastu 2,5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0"/>
        <charset val="238"/>
      </rPr>
      <t>)</t>
    </r>
  </si>
  <si>
    <t>ŽM od 1.7.2015:</t>
  </si>
  <si>
    <r>
      <t xml:space="preserve">Minimálna mzda </t>
    </r>
    <r>
      <rPr>
        <sz val="10"/>
        <rFont val="Arial"/>
        <family val="0"/>
        <charset val="238"/>
      </rPr>
      <t xml:space="preserve">od 1. januára 2015 - </t>
    </r>
    <r>
      <rPr>
        <b/>
        <sz val="10"/>
        <rFont val="Arial"/>
        <family val="2"/>
        <charset val="238"/>
      </rPr>
      <t>odhad (index rastu 3,0)</t>
    </r>
  </si>
  <si>
    <t>Odhad CCP z MM (2015)</t>
  </si>
  <si>
    <t>Predpokladaný objem finančných prostriedkov (v eur)</t>
  </si>
  <si>
    <t>Priemer na 1 UoZ/zamestnanca (v eur)</t>
  </si>
  <si>
    <t xml:space="preserve">PM (v eur): </t>
  </si>
  <si>
    <t>Max. štvrťročná suma príspevku (25 % z ročnej) (v eur)</t>
  </si>
  <si>
    <t>Predpokladaný objem finančných prostriedkov celkom (v eur):</t>
  </si>
  <si>
    <t>v eur</t>
  </si>
  <si>
    <t>Predpokladaný objem fin. prostriedkov celkom (v eur):</t>
  </si>
  <si>
    <t>Predpokladaný objem fin. prostriedkov (v eur):</t>
  </si>
  <si>
    <t>Príspevok (v eur)</t>
  </si>
  <si>
    <t>Suma celkom (v eur):</t>
  </si>
  <si>
    <t>PM (v eur):</t>
  </si>
  <si>
    <t>Predpokladaný objem finančných prostriedkov na vybrané aktívne oaptrenia na trhu práce podľa zákona o službách zamestnanosti na roky 2012 až 2015</t>
  </si>
  <si>
    <t>§ 49 ods. 4 zákona - súčet priemernej mzdy zamestnanca v hospodárstve Slovenskej republiky zverejnenej ŠÚ SR za príslušné obdobie a preddavku na poistenie, poistného na sociálne poistenie a príspevku na starobné dôchodkové sporenie, platených zamestnávateľom</t>
  </si>
  <si>
    <t>2) Zdroj: Prognóza vybraných indikátorov vývoja ekonomiky SR, IFP (MF SR), jún 2012</t>
  </si>
  <si>
    <r>
      <t>Odhad výšky priemernej mesačnej mzdy zamestnanca za I. až III štvrťrok 2013 (index rastu 4,0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0"/>
        <charset val="238"/>
      </rPr>
      <t>):</t>
    </r>
  </si>
  <si>
    <r>
      <t>Odhad výšky priemernej mesačnej mzdy zamestnanca za I. až III štvrťrok 2014 (index rastu 4,5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0"/>
        <charset val="238"/>
      </rPr>
      <t>):</t>
    </r>
  </si>
  <si>
    <t>Suma životného minima pre jednu plnoletú fyzickú osobu od 1.7.2012</t>
  </si>
  <si>
    <t>bratislavský kraj</t>
  </si>
  <si>
    <t>CCP (v eur):</t>
  </si>
  <si>
    <t>pre rok</t>
  </si>
  <si>
    <t>4*CCP</t>
  </si>
  <si>
    <t>najviac 2,5*CCP</t>
  </si>
  <si>
    <t>najviac 3*CCP</t>
  </si>
  <si>
    <t>najviac 4*CCP</t>
  </si>
  <si>
    <t>Priemerná max. suma príspevku:</t>
  </si>
  <si>
    <t>Odhadovaná výška príspevku (o 10% menej ako je max. priemer)</t>
  </si>
  <si>
    <t>najviac 25 % z CCP</t>
  </si>
  <si>
    <t>najviac 30 % z CCP</t>
  </si>
  <si>
    <t xml:space="preserve">kraj s MEN ≤ Ø SR </t>
  </si>
  <si>
    <t>najviac 40 % z CCP</t>
  </si>
  <si>
    <t>65 % ŽM</t>
  </si>
  <si>
    <t>Výška príspevku zo zákona: 65 % sumy životného minima (ŽM) pre jednu plnoletú fyzickú osobu</t>
  </si>
  <si>
    <t>50j Príspevok na podporu rozvoja miestnej a regionálnej zamestnanosti</t>
  </si>
  <si>
    <r>
      <t>Odhad sumy životného minima pre jednu plnoletú fyzickú osobu od 1.7.2015 (index rastu 2,5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0"/>
        <charset val="238"/>
      </rPr>
      <t>)</t>
    </r>
  </si>
  <si>
    <t>Odhad CCP z 2-násobku ŽM (od 1.7.2014 do 30.6.2015)</t>
  </si>
  <si>
    <t>Odhad CCP z 2-násobku ŽM (od 1.7.2015 do 30.6.2016)</t>
  </si>
  <si>
    <t>§ 52</t>
  </si>
  <si>
    <t>§ 50</t>
  </si>
  <si>
    <t>§ 53b</t>
  </si>
  <si>
    <t>Odhadovaná výška príspevku (o 20% menej ako je max. priemer)</t>
  </si>
  <si>
    <t>4,8*CCP</t>
  </si>
  <si>
    <t>5,2*CCP</t>
  </si>
  <si>
    <t>Výška príspevku - 30,2 % z CCP</t>
  </si>
  <si>
    <t>Predp. objem fin. prostriedkov celkom (v eur):</t>
  </si>
  <si>
    <t>§ 57 - Príspevok občanovi so zdravotným postihnutím na samostatnú zárobkovú činnosť</t>
  </si>
  <si>
    <t>najviac 3,2*CCP</t>
  </si>
  <si>
    <t>najviac 4,8*CCP</t>
  </si>
  <si>
    <t>max 70 % CCP</t>
  </si>
  <si>
    <t>§ 46</t>
  </si>
  <si>
    <t>§ 49a</t>
  </si>
  <si>
    <t>§ 50a</t>
  </si>
  <si>
    <t xml:space="preserve">priemerná plánovaná suma na 1 UoZ: </t>
  </si>
  <si>
    <t>b) vzdelávanie a príprava pre trh práce zabezpečovaná UoZ na základe vlastnej iniciatívy:</t>
  </si>
  <si>
    <t>úhrada nákladov vzdelávania a prípravy pre trh práce do výšky 600 €</t>
  </si>
  <si>
    <t>§ 48b</t>
  </si>
  <si>
    <t>CCP (v eur)</t>
  </si>
  <si>
    <t>Pre rok</t>
  </si>
  <si>
    <t>§ 32</t>
  </si>
  <si>
    <t>Odhad CCP zo 70 % PM (2013)</t>
  </si>
  <si>
    <t>§ 53a Príspevok na presťahovanie za prácou</t>
  </si>
  <si>
    <t>Počet podporených zamestnancov</t>
  </si>
  <si>
    <t>Predpokladaný objem finančných prostriedkov</t>
  </si>
  <si>
    <t>Priemerná suma príspevku</t>
  </si>
  <si>
    <t>§ 47 Vzdelávanie a príprava pre trh práce zamestnanca</t>
  </si>
  <si>
    <t>Ø na 1 zamestnanca</t>
  </si>
  <si>
    <t>Predp. počet zamestnancov</t>
  </si>
  <si>
    <t>§ 47</t>
  </si>
  <si>
    <t>§ 57a</t>
  </si>
  <si>
    <t>§ 55a</t>
  </si>
  <si>
    <t>návrh na zrušenie: §§ 48b, 49a, 50a, 50c, 52a, 55a a 57a</t>
  </si>
  <si>
    <t>návrh na ponechanie fakultatívnosti: §§ 43, 46, 47, 53b, 54</t>
  </si>
  <si>
    <t>zo 60% PM</t>
  </si>
  <si>
    <t>Platný právny stav</t>
  </si>
  <si>
    <t>Navrhovaný právny stav</t>
  </si>
  <si>
    <r>
      <t xml:space="preserve">Minimálna mzda </t>
    </r>
    <r>
      <rPr>
        <sz val="10"/>
        <rFont val="Arial"/>
        <family val="2"/>
        <charset val="238"/>
      </rPr>
      <t xml:space="preserve">od 1. januára 2013 </t>
    </r>
  </si>
  <si>
    <t>CCP z MM (2013)</t>
  </si>
  <si>
    <t>CCP z MM (2012)</t>
  </si>
  <si>
    <t>Minimálna</t>
  </si>
  <si>
    <t>Maximálna</t>
  </si>
  <si>
    <t>Priemer</t>
  </si>
  <si>
    <t>60 % CCP z PM</t>
  </si>
  <si>
    <t>80 % z 1/2 MCCP</t>
  </si>
  <si>
    <t>návrh na ponechanie obligatórnosti: §§ 32, 52, 53, 53a, 59 a 60</t>
  </si>
  <si>
    <t>návrh na zmenu z obligatórneho na fakultatívny príspevok: §§ 49, 50, 50j, 51, 56, 56a a 57</t>
  </si>
  <si>
    <t>Ročná suma príspevku (2,5-násobok CCP) (v eur)</t>
  </si>
  <si>
    <t>Ročná suma príspevku (5-násobok CCP) (v eur)</t>
  </si>
  <si>
    <t>Priemerná ročná suma:</t>
  </si>
  <si>
    <r>
      <t>Výška priemernej mesačnej mzdy zamestnanca za I. až III štvrťrok 2012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0"/>
        <charset val="238"/>
      </rPr>
      <t>:</t>
    </r>
  </si>
  <si>
    <t>§ 50k</t>
  </si>
  <si>
    <t>Vzhľadom na navrhovanú účinnosť návrhu zákona (1. mája 2013) sa v januári až apríli 2013 budú AOTP realizovať podľa platného právneho stavu, s predpokladanou potrebou finančných prostriedkov v objeme 56 820 702 eur (170 462 105/12 x 4). Zmenou niektorých AOTP sa v máji až decembri 2013 odhaduje potreba finančných prostriedkov na ich realizáciu v objeme 110 950 352 eur (166 425 528/12 x 8). Celkovo sa tak potrebný objem finančných prostriedkov na realizáciu AOTP v roku 2013 odhaduje na 167 771 054 eur.</t>
  </si>
</sst>
</file>

<file path=xl/styles.xml><?xml version="1.0" encoding="utf-8"?>
<styleSheet xmlns="http://schemas.openxmlformats.org/spreadsheetml/2006/main">
  <numFmts count="36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#,##0.00\ [$€-1];[Red]\-#,##0.00\ [$€-1]"/>
    <numFmt numFmtId="165" formatCode="#,##0.0000_ ;[Red]\-#,##0.0000\ "/>
    <numFmt numFmtId="166" formatCode="#,##0.0000\ [$€-1];[Red]\-#,##0.0000\ [$€-1]"/>
    <numFmt numFmtId="167" formatCode="0.0000"/>
    <numFmt numFmtId="168" formatCode="0.00000000"/>
    <numFmt numFmtId="169" formatCode="0.0000000"/>
    <numFmt numFmtId="170" formatCode="0.000000"/>
    <numFmt numFmtId="171" formatCode="0.00000"/>
    <numFmt numFmtId="172" formatCode="0.000"/>
    <numFmt numFmtId="173" formatCode="0.0"/>
    <numFmt numFmtId="174" formatCode="&quot;Áno&quot;;&quot;Áno&quot;;&quot;Nie&quot;"/>
    <numFmt numFmtId="175" formatCode="&quot;Pravda&quot;;&quot;Pravda&quot;;&quot;Nepravda&quot;"/>
    <numFmt numFmtId="176" formatCode="&quot;Zapnuté&quot;;&quot;Zapnuté&quot;;&quot;Vypnuté&quot;"/>
    <numFmt numFmtId="177" formatCode="#,##0.0"/>
    <numFmt numFmtId="178" formatCode="0.0%"/>
    <numFmt numFmtId="179" formatCode="000\ 00"/>
    <numFmt numFmtId="180" formatCode="#,##0.000"/>
    <numFmt numFmtId="181" formatCode="0.00_)"/>
    <numFmt numFmtId="182" formatCode="#,##0.00\ [$€-1]"/>
    <numFmt numFmtId="183" formatCode="[$€-2]\ #\ ##,000_);[Red]\([$€-2]\ #\ ##,000\)"/>
    <numFmt numFmtId="184" formatCode="#,##0.0\ [$€-1]"/>
    <numFmt numFmtId="185" formatCode="#,##0\ [$€-1];[Red]\-#,##0\ [$€-1]"/>
    <numFmt numFmtId="186" formatCode="#,##0\ [$€-1]"/>
    <numFmt numFmtId="187" formatCode="&quot;Yes&quot;;&quot;Yes&quot;;&quot;No&quot;"/>
    <numFmt numFmtId="188" formatCode="&quot;True&quot;;&quot;True&quot;;&quot;False&quot;"/>
    <numFmt numFmtId="189" formatCode="&quot;On&quot;;&quot;On&quot;;&quot;Off&quot;"/>
    <numFmt numFmtId="190" formatCode="#,##0.0000"/>
    <numFmt numFmtId="191" formatCode="#,##0\ _S_k"/>
  </numFmts>
  <fonts count="51">
    <font>
      <sz val="10"/>
      <name val="Arial"/>
      <family val="0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0"/>
      <charset val="238"/>
    </font>
    <font>
      <u val="single"/>
      <sz val="10"/>
      <color indexed="12"/>
      <name val="Arial"/>
      <family val="0"/>
      <charset val="238"/>
    </font>
    <font>
      <u val="single"/>
      <sz val="10"/>
      <color indexed="36"/>
      <name val="Arial"/>
      <family val="0"/>
      <charset val="238"/>
    </font>
    <font>
      <vertAlign val="superscript"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name val="Times New Roman"/>
      <family val="1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rgb="FFFF00FF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8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medium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>
        <color indexed="0"/>
      </right>
      <top style="medium">
        <color auto="1"/>
      </top>
      <bottom>
        <color indexed="0"/>
      </bottom>
    </border>
    <border>
      <left>
        <color indexed="0"/>
      </left>
      <right style="medium">
        <color auto="1"/>
      </right>
      <top style="medium">
        <color auto="1"/>
      </top>
      <bottom>
        <color indexed="0"/>
      </bottom>
    </border>
    <border>
      <left style="medium">
        <color auto="1"/>
      </left>
      <right>
        <color indexed="0"/>
      </right>
      <top style="thin">
        <color auto="1"/>
      </top>
      <bottom style="medium">
        <color auto="1"/>
      </bottom>
    </border>
    <border>
      <left>
        <color indexed="0"/>
      </left>
      <right style="medium">
        <color auto="1"/>
      </right>
      <top style="thin">
        <color auto="1"/>
      </top>
      <bottom style="medium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medium">
        <color auto="1"/>
      </bottom>
    </border>
    <border>
      <left>
        <color indexed="0"/>
      </left>
      <right>
        <color indexed="0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>
        <color indexed="0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 style="medium">
        <color auto="1"/>
      </left>
      <right>
        <color indexed="0"/>
      </right>
      <top>
        <color indexed="0"/>
      </top>
      <bottom style="thin">
        <color auto="1"/>
      </bottom>
    </border>
    <border>
      <left style="medium">
        <color auto="1"/>
      </left>
      <right>
        <color indexed="0"/>
      </right>
      <top>
        <color indexed="0"/>
      </top>
      <bottom>
        <color indexed="0"/>
      </bottom>
    </border>
    <border>
      <left style="medium">
        <color auto="1"/>
      </left>
      <right>
        <color indexed="0"/>
      </right>
      <top>
        <color indexed="0"/>
      </top>
      <bottom style="medium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medium">
        <color auto="1"/>
      </bottom>
    </border>
    <border>
      <left>
        <color indexed="0"/>
      </left>
      <right>
        <color indexed="0"/>
      </right>
      <top>
        <color indexed="0"/>
      </top>
      <bottom style="medium">
        <color auto="1"/>
      </bottom>
    </border>
    <border>
      <left style="thin">
        <color auto="1"/>
      </left>
      <right style="medium">
        <color auto="1"/>
      </right>
      <top>
        <color indexed="0"/>
      </top>
      <bottom style="medium">
        <color auto="1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>
        <color indexed="0"/>
      </left>
      <right style="medium">
        <color auto="1"/>
      </right>
      <top>
        <color indexed="0"/>
      </top>
      <bottom>
        <color indexed="0"/>
      </bottom>
    </border>
    <border>
      <left>
        <color indexed="0"/>
      </left>
      <right style="medium">
        <color auto="1"/>
      </right>
      <top style="thin">
        <color auto="1"/>
      </top>
      <bottom style="thin">
        <color auto="1"/>
      </bottom>
    </border>
    <border>
      <left>
        <color indexed="0"/>
      </left>
      <right style="medium">
        <color auto="1"/>
      </right>
      <top>
        <color indexed="0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>
        <color indexed="0"/>
      </bottom>
    </border>
    <border>
      <left style="medium">
        <color auto="1"/>
      </left>
      <right style="medium">
        <color auto="1"/>
      </right>
      <top style="thin">
        <color auto="1"/>
      </top>
      <bottom>
        <color indexed="0"/>
      </bottom>
    </border>
    <border>
      <left style="medium">
        <color auto="1"/>
      </left>
      <right style="medium">
        <color auto="1"/>
      </right>
      <top>
        <color indexed="0"/>
      </top>
      <bottom>
        <color indexed="0"/>
      </bottom>
    </border>
    <border>
      <left style="medium">
        <color auto="1"/>
      </left>
      <right style="medium">
        <color auto="1"/>
      </right>
      <top style="medium">
        <color auto="1"/>
      </top>
      <bottom>
        <color indexed="0"/>
      </bottom>
    </border>
    <border>
      <left style="medium">
        <color auto="1"/>
      </left>
      <right style="medium">
        <color auto="1"/>
      </right>
      <top>
        <color indexed="0"/>
      </top>
      <bottom style="medium">
        <color auto="1"/>
      </bottom>
    </border>
    <border>
      <left>
        <color indexed="0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>
        <color indexed="0"/>
      </bottom>
    </border>
    <border>
      <left style="medium">
        <color auto="1"/>
      </left>
      <right style="thin">
        <color auto="1"/>
      </right>
      <top>
        <color indexed="0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>
        <color indexed="0"/>
      </top>
      <bottom style="thin">
        <color auto="1"/>
      </bottom>
    </border>
    <border>
      <left>
        <color indexed="0"/>
      </left>
      <right style="medium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>
        <color indexed="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medium">
        <color auto="1"/>
      </right>
      <top style="thin">
        <color auto="1"/>
      </top>
      <bottom>
        <color indexed="0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medium">
        <color auto="1"/>
      </top>
      <bottom>
        <color indexed="0"/>
      </bottom>
    </border>
    <border>
      <left>
        <color indexed="0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 style="medium">
        <color auto="1"/>
      </right>
      <top>
        <color indexed="0"/>
      </top>
      <bottom>
        <color indexed="0"/>
      </bottom>
    </border>
    <border>
      <left style="medium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medium">
        <color auto="1"/>
      </right>
      <top style="thin">
        <color auto="1"/>
      </top>
      <bottom>
        <color indexed="0"/>
      </bottom>
    </border>
    <border>
      <left style="medium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 style="medium">
        <color auto="1"/>
      </top>
      <bottom style="medium">
        <color auto="1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>
        <color indexed="0"/>
      </top>
      <bottom style="medium">
        <color auto="1"/>
      </bottom>
    </border>
    <border>
      <left style="medium">
        <color auto="1"/>
      </left>
      <right>
        <color indexed="0"/>
      </right>
      <top style="medium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>
        <color indexed="0"/>
      </right>
      <top style="medium">
        <color auto="1"/>
      </top>
      <bottom style="thin">
        <color auto="1"/>
      </bottom>
    </border>
    <border>
      <left style="thin">
        <color auto="1"/>
      </left>
      <right>
        <color indexed="0"/>
      </right>
      <top style="medium">
        <color auto="1"/>
      </top>
      <bottom>
        <color indexed="0"/>
      </bottom>
    </border>
    <border>
      <left>
        <color indexed="0"/>
      </left>
      <right style="thin">
        <color auto="1"/>
      </right>
      <top style="medium">
        <color auto="1"/>
      </top>
      <bottom>
        <color indexed="0"/>
      </bottom>
    </border>
    <border>
      <left>
        <color indexed="0"/>
      </left>
      <right>
        <color indexed="0"/>
      </right>
      <top style="thin">
        <color auto="1"/>
      </top>
      <bottom style="medium">
        <color auto="1"/>
      </bottom>
    </border>
  </borders>
  <cellStyleXfs count="6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9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48" fillId="21" borderId="1" applyNumberFormat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7" fillId="0" borderId="2" applyNumberFormat="0" applyFill="0" applyAlignment="0" applyProtection="0"/>
    <xf numFmtId="0" fontId="46" fillId="0" borderId="3" applyNumberFormat="0" applyFill="0" applyAlignment="0" applyProtection="0"/>
    <xf numFmtId="0" fontId="45" fillId="0" borderId="4" applyNumberFormat="0" applyFill="0" applyAlignment="0" applyProtection="0"/>
    <xf numFmtId="0" fontId="45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0" fillId="0" borderId="0">
      <alignment/>
      <protection/>
    </xf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3" fillId="0" borderId="6" applyNumberFormat="0" applyFill="0" applyAlignment="0" applyProtection="0"/>
    <xf numFmtId="0" fontId="42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24" borderId="8" applyNumberFormat="0" applyAlignment="0" applyProtection="0"/>
    <xf numFmtId="0" fontId="38" fillId="25" borderId="8" applyNumberFormat="0" applyAlignment="0" applyProtection="0"/>
    <xf numFmtId="0" fontId="37" fillId="25" borderId="9" applyNumberFormat="0" applyAlignment="0" applyProtection="0"/>
    <xf numFmtId="0" fontId="36" fillId="0" borderId="0" applyNumberFormat="0" applyFill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</cellStyleXfs>
  <cellXfs count="662">
    <xf numFmtId="0" fontId="0" fillId="0" borderId="0" xfId="0" applyAlignment="1">
      <alignment/>
    </xf>
    <xf numFmtId="0" fontId="2" fillId="0" borderId="0" xfId="0" applyFont="1" applyAlignment="1">
      <alignment/>
    </xf>
    <xf numFmtId="164" fontId="0" fillId="0" borderId="10" xfId="0" applyNumberFormat="1" applyBorder="1" applyAlignment="1">
      <alignment/>
    </xf>
    <xf numFmtId="0" fontId="0" fillId="0" borderId="10" xfId="0" applyBorder="1" applyAlignment="1">
      <alignment/>
    </xf>
    <xf numFmtId="0" fontId="0" fillId="0" borderId="0" xfId="0" applyBorder="1" applyAlignment="1">
      <alignment/>
    </xf>
    <xf numFmtId="4" fontId="0" fillId="0" borderId="11" xfId="0" applyNumberFormat="1" applyBorder="1" applyAlignment="1">
      <alignment/>
    </xf>
    <xf numFmtId="165" fontId="0" fillId="0" borderId="10" xfId="0" applyNumberFormat="1" applyBorder="1" applyAlignment="1">
      <alignment/>
    </xf>
    <xf numFmtId="2" fontId="0" fillId="0" borderId="10" xfId="0" applyNumberFormat="1" applyBorder="1" applyAlignment="1">
      <alignment/>
    </xf>
    <xf numFmtId="4" fontId="0" fillId="0" borderId="10" xfId="0" applyNumberFormat="1" applyBorder="1" applyAlignment="1">
      <alignment/>
    </xf>
    <xf numFmtId="4" fontId="0" fillId="0" borderId="12" xfId="0" applyNumberFormat="1" applyBorder="1" applyAlignment="1">
      <alignment/>
    </xf>
    <xf numFmtId="4" fontId="2" fillId="0" borderId="10" xfId="0" applyNumberFormat="1" applyFont="1" applyBorder="1" applyAlignment="1">
      <alignment/>
    </xf>
    <xf numFmtId="2" fontId="0" fillId="33" borderId="10" xfId="0" applyNumberFormat="1" applyFill="1" applyBorder="1" applyAlignment="1">
      <alignment/>
    </xf>
    <xf numFmtId="4" fontId="0" fillId="33" borderId="10" xfId="0" applyNumberFormat="1" applyFill="1" applyBorder="1" applyAlignment="1">
      <alignment/>
    </xf>
    <xf numFmtId="166" fontId="0" fillId="0" borderId="10" xfId="0" applyNumberFormat="1" applyBorder="1" applyAlignment="1">
      <alignment/>
    </xf>
    <xf numFmtId="164" fontId="2" fillId="33" borderId="10" xfId="0" applyNumberFormat="1" applyFont="1" applyFill="1" applyBorder="1" applyAlignment="1">
      <alignment/>
    </xf>
    <xf numFmtId="0" fontId="0" fillId="0" borderId="13" xfId="0" applyBorder="1" applyAlignment="1">
      <alignment/>
    </xf>
    <xf numFmtId="0" fontId="0" fillId="0" borderId="14" xfId="0" applyBorder="1" applyAlignment="1">
      <alignment/>
    </xf>
    <xf numFmtId="0" fontId="0" fillId="0" borderId="15" xfId="0" applyBorder="1" applyAlignment="1">
      <alignment/>
    </xf>
    <xf numFmtId="0" fontId="0" fillId="0" borderId="10" xfId="0" applyFill="1" applyBorder="1" applyAlignment="1">
      <alignment/>
    </xf>
    <xf numFmtId="166" fontId="0" fillId="0" borderId="10" xfId="0" applyNumberFormat="1" applyFill="1" applyBorder="1" applyAlignment="1">
      <alignment/>
    </xf>
    <xf numFmtId="164" fontId="2" fillId="0" borderId="10" xfId="0" applyNumberFormat="1" applyFont="1" applyFill="1" applyBorder="1" applyAlignment="1">
      <alignment/>
    </xf>
    <xf numFmtId="6" fontId="0" fillId="0" borderId="10" xfId="0" applyNumberFormat="1" applyBorder="1" applyAlignment="1">
      <alignment/>
    </xf>
    <xf numFmtId="0" fontId="0" fillId="0" borderId="16" xfId="0" applyBorder="1" applyAlignment="1">
      <alignment/>
    </xf>
    <xf numFmtId="0" fontId="0" fillId="0" borderId="17" xfId="0" applyBorder="1" applyAlignment="1">
      <alignment/>
    </xf>
    <xf numFmtId="0" fontId="0" fillId="0" borderId="12" xfId="0" applyBorder="1" applyAlignment="1">
      <alignment/>
    </xf>
    <xf numFmtId="6" fontId="0" fillId="0" borderId="16" xfId="0" applyNumberFormat="1" applyBorder="1" applyAlignment="1">
      <alignment/>
    </xf>
    <xf numFmtId="182" fontId="0" fillId="0" borderId="10" xfId="0" applyNumberFormat="1" applyBorder="1" applyAlignment="1">
      <alignment/>
    </xf>
    <xf numFmtId="6" fontId="0" fillId="0" borderId="17" xfId="0" applyNumberFormat="1" applyBorder="1" applyAlignment="1">
      <alignment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/>
    </xf>
    <xf numFmtId="0" fontId="2" fillId="0" borderId="16" xfId="0" applyFont="1" applyBorder="1" applyAlignment="1">
      <alignment/>
    </xf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182" fontId="0" fillId="0" borderId="0" xfId="0" applyNumberFormat="1" applyBorder="1" applyAlignment="1">
      <alignment/>
    </xf>
    <xf numFmtId="3" fontId="0" fillId="0" borderId="0" xfId="0" applyNumberFormat="1" applyAlignment="1">
      <alignment/>
    </xf>
    <xf numFmtId="3" fontId="0" fillId="0" borderId="10" xfId="0" applyNumberFormat="1" applyBorder="1" applyAlignment="1">
      <alignment/>
    </xf>
    <xf numFmtId="182" fontId="0" fillId="0" borderId="16" xfId="0" applyNumberFormat="1" applyBorder="1" applyAlignment="1">
      <alignment/>
    </xf>
    <xf numFmtId="9" fontId="0" fillId="0" borderId="0" xfId="0" applyNumberFormat="1" applyBorder="1" applyAlignment="1">
      <alignment/>
    </xf>
    <xf numFmtId="3" fontId="0" fillId="0" borderId="0" xfId="0" applyNumberFormat="1" applyBorder="1" applyAlignment="1">
      <alignment/>
    </xf>
    <xf numFmtId="182" fontId="2" fillId="0" borderId="0" xfId="0" applyNumberFormat="1" applyFont="1" applyBorder="1" applyAlignment="1">
      <alignment/>
    </xf>
    <xf numFmtId="182" fontId="0" fillId="0" borderId="14" xfId="0" applyNumberFormat="1" applyBorder="1" applyAlignment="1">
      <alignment/>
    </xf>
    <xf numFmtId="182" fontId="0" fillId="0" borderId="0" xfId="0" applyNumberFormat="1" applyAlignment="1">
      <alignment/>
    </xf>
    <xf numFmtId="0" fontId="0" fillId="0" borderId="18" xfId="0" applyBorder="1" applyAlignment="1">
      <alignment/>
    </xf>
    <xf numFmtId="0" fontId="0" fillId="0" borderId="19" xfId="0" applyBorder="1" applyAlignment="1">
      <alignment/>
    </xf>
    <xf numFmtId="182" fontId="0" fillId="0" borderId="20" xfId="0" applyNumberFormat="1" applyBorder="1" applyAlignment="1">
      <alignment/>
    </xf>
    <xf numFmtId="0" fontId="0" fillId="0" borderId="21" xfId="0" applyBorder="1" applyAlignment="1">
      <alignment/>
    </xf>
    <xf numFmtId="182" fontId="0" fillId="0" borderId="22" xfId="0" applyNumberFormat="1" applyBorder="1" applyAlignment="1">
      <alignment/>
    </xf>
    <xf numFmtId="0" fontId="0" fillId="0" borderId="2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164" fontId="0" fillId="0" borderId="0" xfId="0" applyNumberFormat="1" applyAlignment="1">
      <alignment/>
    </xf>
    <xf numFmtId="0" fontId="0" fillId="0" borderId="0" xfId="0" applyAlignment="1">
      <alignment wrapText="1" shrinkToFit="1"/>
    </xf>
    <xf numFmtId="186" fontId="2" fillId="0" borderId="23" xfId="0" applyNumberFormat="1" applyFont="1" applyBorder="1" applyAlignment="1">
      <alignment/>
    </xf>
    <xf numFmtId="186" fontId="2" fillId="0" borderId="24" xfId="0" applyNumberFormat="1" applyFont="1" applyBorder="1" applyAlignment="1">
      <alignment/>
    </xf>
    <xf numFmtId="186" fontId="2" fillId="0" borderId="25" xfId="0" applyNumberFormat="1" applyFont="1" applyBorder="1" applyAlignment="1">
      <alignment/>
    </xf>
    <xf numFmtId="0" fontId="0" fillId="0" borderId="26" xfId="0" applyBorder="1" applyAlignment="1">
      <alignment/>
    </xf>
    <xf numFmtId="185" fontId="2" fillId="0" borderId="27" xfId="0" applyNumberFormat="1" applyFont="1" applyBorder="1" applyAlignment="1">
      <alignment/>
    </xf>
    <xf numFmtId="0" fontId="0" fillId="0" borderId="28" xfId="0" applyFill="1" applyBorder="1" applyAlignment="1">
      <alignment/>
    </xf>
    <xf numFmtId="185" fontId="2" fillId="0" borderId="29" xfId="0" applyNumberFormat="1" applyFont="1" applyBorder="1" applyAlignment="1">
      <alignment/>
    </xf>
    <xf numFmtId="0" fontId="0" fillId="0" borderId="25" xfId="0" applyBorder="1" applyAlignment="1">
      <alignment wrapText="1" shrinkToFit="1"/>
    </xf>
    <xf numFmtId="0" fontId="0" fillId="0" borderId="30" xfId="0" applyBorder="1" applyAlignment="1">
      <alignment wrapText="1" shrinkToFit="1"/>
    </xf>
    <xf numFmtId="0" fontId="0" fillId="0" borderId="19" xfId="0" applyBorder="1" applyAlignment="1">
      <alignment wrapText="1" shrinkToFit="1"/>
    </xf>
    <xf numFmtId="0" fontId="0" fillId="0" borderId="31" xfId="0" applyBorder="1" applyAlignment="1">
      <alignment wrapText="1" shrinkToFit="1"/>
    </xf>
    <xf numFmtId="0" fontId="2" fillId="34" borderId="32" xfId="0" applyFont="1" applyFill="1" applyBorder="1" applyAlignment="1">
      <alignment horizontal="center"/>
    </xf>
    <xf numFmtId="182" fontId="2" fillId="35" borderId="33" xfId="0" applyNumberFormat="1" applyFont="1" applyFill="1" applyBorder="1" applyAlignment="1">
      <alignment/>
    </xf>
    <xf numFmtId="182" fontId="2" fillId="34" borderId="33" xfId="0" applyNumberFormat="1" applyFont="1" applyFill="1" applyBorder="1" applyAlignment="1">
      <alignment/>
    </xf>
    <xf numFmtId="0" fontId="0" fillId="0" borderId="34" xfId="0" applyBorder="1" applyAlignment="1">
      <alignment/>
    </xf>
    <xf numFmtId="0" fontId="0" fillId="0" borderId="35" xfId="0" applyBorder="1" applyAlignment="1">
      <alignment/>
    </xf>
    <xf numFmtId="0" fontId="2" fillId="0" borderId="22" xfId="0" applyFont="1" applyBorder="1" applyAlignment="1">
      <alignment/>
    </xf>
    <xf numFmtId="0" fontId="0" fillId="0" borderId="36" xfId="0" applyFont="1" applyBorder="1" applyAlignment="1">
      <alignment/>
    </xf>
    <xf numFmtId="0" fontId="0" fillId="0" borderId="37" xfId="0" applyBorder="1" applyAlignment="1">
      <alignment/>
    </xf>
    <xf numFmtId="0" fontId="2" fillId="0" borderId="0" xfId="0" applyFont="1" applyBorder="1" applyAlignment="1">
      <alignment/>
    </xf>
    <xf numFmtId="0" fontId="0" fillId="0" borderId="38" xfId="0" applyBorder="1" applyAlignment="1">
      <alignment/>
    </xf>
    <xf numFmtId="0" fontId="2" fillId="0" borderId="39" xfId="0" applyFont="1" applyBorder="1" applyAlignment="1">
      <alignment/>
    </xf>
    <xf numFmtId="0" fontId="0" fillId="0" borderId="40" xfId="0" applyBorder="1" applyAlignment="1">
      <alignment/>
    </xf>
    <xf numFmtId="182" fontId="0" fillId="0" borderId="41" xfId="0" applyNumberFormat="1" applyBorder="1" applyAlignment="1">
      <alignment/>
    </xf>
    <xf numFmtId="182" fontId="0" fillId="0" borderId="42" xfId="0" applyNumberFormat="1" applyBorder="1" applyAlignment="1">
      <alignment/>
    </xf>
    <xf numFmtId="182" fontId="0" fillId="0" borderId="43" xfId="0" applyNumberFormat="1" applyBorder="1" applyAlignment="1">
      <alignment/>
    </xf>
    <xf numFmtId="182" fontId="0" fillId="0" borderId="12" xfId="0" applyNumberFormat="1" applyBorder="1" applyAlignment="1">
      <alignment/>
    </xf>
    <xf numFmtId="0" fontId="0" fillId="0" borderId="0" xfId="0" applyBorder="1" applyAlignment="1">
      <alignment wrapText="1" shrinkToFit="1"/>
    </xf>
    <xf numFmtId="182" fontId="0" fillId="0" borderId="15" xfId="0" applyNumberFormat="1" applyBorder="1" applyAlignment="1">
      <alignment/>
    </xf>
    <xf numFmtId="182" fontId="0" fillId="0" borderId="44" xfId="0" applyNumberFormat="1" applyBorder="1" applyAlignment="1">
      <alignment/>
    </xf>
    <xf numFmtId="0" fontId="0" fillId="0" borderId="39" xfId="0" applyBorder="1" applyAlignment="1">
      <alignment/>
    </xf>
    <xf numFmtId="0" fontId="0" fillId="0" borderId="45" xfId="0" applyBorder="1" applyAlignment="1">
      <alignment/>
    </xf>
    <xf numFmtId="182" fontId="0" fillId="0" borderId="46" xfId="0" applyNumberFormat="1" applyBorder="1" applyAlignment="1">
      <alignment/>
    </xf>
    <xf numFmtId="0" fontId="0" fillId="0" borderId="39" xfId="0" applyBorder="1" applyAlignment="1">
      <alignment wrapText="1" shrinkToFit="1"/>
    </xf>
    <xf numFmtId="182" fontId="0" fillId="0" borderId="45" xfId="0" applyNumberFormat="1" applyBorder="1" applyAlignment="1">
      <alignment/>
    </xf>
    <xf numFmtId="0" fontId="0" fillId="0" borderId="41" xfId="0" applyBorder="1" applyAlignment="1">
      <alignment/>
    </xf>
    <xf numFmtId="0" fontId="0" fillId="0" borderId="47" xfId="0" applyBorder="1" applyAlignment="1">
      <alignment/>
    </xf>
    <xf numFmtId="0" fontId="0" fillId="0" borderId="48" xfId="0" applyBorder="1" applyAlignment="1">
      <alignment/>
    </xf>
    <xf numFmtId="3" fontId="0" fillId="0" borderId="41" xfId="0" applyNumberFormat="1" applyBorder="1" applyAlignment="1">
      <alignment/>
    </xf>
    <xf numFmtId="0" fontId="0" fillId="0" borderId="49" xfId="0" applyBorder="1" applyAlignment="1">
      <alignment/>
    </xf>
    <xf numFmtId="0" fontId="0" fillId="0" borderId="50" xfId="0" applyBorder="1" applyAlignment="1">
      <alignment/>
    </xf>
    <xf numFmtId="0" fontId="0" fillId="0" borderId="51" xfId="0" applyBorder="1" applyAlignment="1">
      <alignment/>
    </xf>
    <xf numFmtId="3" fontId="0" fillId="0" borderId="52" xfId="0" applyNumberFormat="1" applyBorder="1" applyAlignment="1">
      <alignment/>
    </xf>
    <xf numFmtId="182" fontId="0" fillId="0" borderId="35" xfId="0" applyNumberFormat="1" applyBorder="1" applyAlignment="1">
      <alignment/>
    </xf>
    <xf numFmtId="3" fontId="0" fillId="0" borderId="42" xfId="0" applyNumberFormat="1" applyBorder="1" applyAlignment="1">
      <alignment/>
    </xf>
    <xf numFmtId="0" fontId="2" fillId="0" borderId="0" xfId="0" applyFont="1" applyAlignment="1">
      <alignment wrapText="1" shrinkToFit="1"/>
    </xf>
    <xf numFmtId="0" fontId="0" fillId="0" borderId="53" xfId="0" applyBorder="1" applyAlignment="1">
      <alignment/>
    </xf>
    <xf numFmtId="0" fontId="0" fillId="0" borderId="33" xfId="0" applyBorder="1" applyAlignment="1">
      <alignment/>
    </xf>
    <xf numFmtId="0" fontId="0" fillId="0" borderId="43" xfId="0" applyBorder="1" applyAlignment="1">
      <alignment/>
    </xf>
    <xf numFmtId="0" fontId="0" fillId="0" borderId="54" xfId="0" applyBorder="1" applyAlignment="1">
      <alignment/>
    </xf>
    <xf numFmtId="182" fontId="0" fillId="0" borderId="55" xfId="0" applyNumberFormat="1" applyBorder="1" applyAlignment="1">
      <alignment/>
    </xf>
    <xf numFmtId="0" fontId="0" fillId="0" borderId="0" xfId="0" applyAlignment="1">
      <alignment horizontal="right"/>
    </xf>
    <xf numFmtId="182" fontId="0" fillId="0" borderId="27" xfId="0" applyNumberFormat="1" applyBorder="1" applyAlignment="1">
      <alignment/>
    </xf>
    <xf numFmtId="3" fontId="0" fillId="0" borderId="51" xfId="0" applyNumberFormat="1" applyBorder="1" applyAlignment="1">
      <alignment/>
    </xf>
    <xf numFmtId="182" fontId="0" fillId="0" borderId="24" xfId="0" applyNumberFormat="1" applyBorder="1" applyAlignment="1">
      <alignment/>
    </xf>
    <xf numFmtId="182" fontId="0" fillId="0" borderId="18" xfId="0" applyNumberFormat="1" applyBorder="1" applyAlignment="1">
      <alignment/>
    </xf>
    <xf numFmtId="182" fontId="0" fillId="0" borderId="56" xfId="0" applyNumberFormat="1" applyBorder="1" applyAlignment="1">
      <alignment/>
    </xf>
    <xf numFmtId="3" fontId="0" fillId="0" borderId="57" xfId="0" applyNumberFormat="1" applyBorder="1" applyAlignment="1">
      <alignment/>
    </xf>
    <xf numFmtId="0" fontId="0" fillId="0" borderId="20" xfId="0" applyBorder="1" applyAlignment="1">
      <alignment/>
    </xf>
    <xf numFmtId="182" fontId="0" fillId="0" borderId="25" xfId="0" applyNumberFormat="1" applyBorder="1" applyAlignment="1">
      <alignment/>
    </xf>
    <xf numFmtId="3" fontId="2" fillId="0" borderId="33" xfId="0" applyNumberFormat="1" applyFont="1" applyBorder="1" applyAlignment="1">
      <alignment/>
    </xf>
    <xf numFmtId="182" fontId="0" fillId="0" borderId="21" xfId="0" applyNumberFormat="1" applyBorder="1" applyAlignment="1">
      <alignment/>
    </xf>
    <xf numFmtId="0" fontId="0" fillId="0" borderId="58" xfId="0" applyBorder="1" applyAlignment="1">
      <alignment/>
    </xf>
    <xf numFmtId="182" fontId="0" fillId="0" borderId="59" xfId="0" applyNumberFormat="1" applyBorder="1" applyAlignment="1">
      <alignment/>
    </xf>
    <xf numFmtId="182" fontId="2" fillId="34" borderId="53" xfId="0" applyNumberFormat="1" applyFont="1" applyFill="1" applyBorder="1" applyAlignment="1">
      <alignment/>
    </xf>
    <xf numFmtId="182" fontId="2" fillId="35" borderId="53" xfId="0" applyNumberFormat="1" applyFont="1" applyFill="1" applyBorder="1" applyAlignment="1">
      <alignment/>
    </xf>
    <xf numFmtId="164" fontId="2" fillId="0" borderId="0" xfId="0" applyNumberFormat="1" applyFont="1" applyBorder="1" applyAlignment="1">
      <alignment/>
    </xf>
    <xf numFmtId="0" fontId="2" fillId="0" borderId="34" xfId="0" applyFont="1" applyBorder="1" applyAlignment="1">
      <alignment/>
    </xf>
    <xf numFmtId="0" fontId="2" fillId="0" borderId="33" xfId="0" applyFont="1" applyBorder="1" applyAlignment="1">
      <alignment/>
    </xf>
    <xf numFmtId="164" fontId="0" fillId="0" borderId="55" xfId="0" applyNumberFormat="1" applyBorder="1" applyAlignment="1">
      <alignment/>
    </xf>
    <xf numFmtId="164" fontId="0" fillId="0" borderId="43" xfId="0" applyNumberFormat="1" applyFont="1" applyBorder="1" applyAlignment="1">
      <alignment/>
    </xf>
    <xf numFmtId="164" fontId="0" fillId="0" borderId="43" xfId="0" applyNumberFormat="1" applyBorder="1" applyAlignment="1">
      <alignment/>
    </xf>
    <xf numFmtId="182" fontId="0" fillId="0" borderId="55" xfId="0" applyNumberFormat="1" applyFill="1" applyBorder="1" applyAlignment="1">
      <alignment/>
    </xf>
    <xf numFmtId="3" fontId="0" fillId="0" borderId="41" xfId="0" applyNumberFormat="1" applyFill="1" applyBorder="1" applyAlignment="1">
      <alignment/>
    </xf>
    <xf numFmtId="0" fontId="0" fillId="0" borderId="56" xfId="0" applyBorder="1" applyAlignment="1">
      <alignment/>
    </xf>
    <xf numFmtId="0" fontId="2" fillId="35" borderId="33" xfId="0" applyFont="1" applyFill="1" applyBorder="1" applyAlignment="1">
      <alignment horizontal="center"/>
    </xf>
    <xf numFmtId="164" fontId="2" fillId="35" borderId="33" xfId="0" applyNumberFormat="1" applyFont="1" applyFill="1" applyBorder="1" applyAlignment="1">
      <alignment/>
    </xf>
    <xf numFmtId="164" fontId="2" fillId="34" borderId="33" xfId="0" applyNumberFormat="1" applyFont="1" applyFill="1" applyBorder="1" applyAlignment="1">
      <alignment/>
    </xf>
    <xf numFmtId="0" fontId="2" fillId="0" borderId="35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60" xfId="0" applyFont="1" applyBorder="1" applyAlignment="1">
      <alignment wrapText="1" shrinkToFit="1"/>
    </xf>
    <xf numFmtId="0" fontId="2" fillId="0" borderId="61" xfId="0" applyFont="1" applyBorder="1" applyAlignment="1">
      <alignment wrapText="1" shrinkToFit="1"/>
    </xf>
    <xf numFmtId="0" fontId="2" fillId="0" borderId="60" xfId="0" applyFont="1" applyFill="1" applyBorder="1" applyAlignment="1">
      <alignment wrapText="1" shrinkToFit="1"/>
    </xf>
    <xf numFmtId="0" fontId="2" fillId="0" borderId="61" xfId="0" applyFont="1" applyFill="1" applyBorder="1" applyAlignment="1">
      <alignment wrapText="1" shrinkToFit="1"/>
    </xf>
    <xf numFmtId="0" fontId="0" fillId="35" borderId="51" xfId="0" applyFill="1" applyBorder="1" applyAlignment="1">
      <alignment/>
    </xf>
    <xf numFmtId="0" fontId="2" fillId="35" borderId="62" xfId="0" applyFont="1" applyFill="1" applyBorder="1" applyAlignment="1">
      <alignment horizontal="center"/>
    </xf>
    <xf numFmtId="186" fontId="0" fillId="0" borderId="35" xfId="0" applyNumberFormat="1" applyBorder="1" applyAlignment="1">
      <alignment/>
    </xf>
    <xf numFmtId="182" fontId="0" fillId="0" borderId="36" xfId="0" applyNumberFormat="1" applyBorder="1" applyAlignment="1">
      <alignment/>
    </xf>
    <xf numFmtId="185" fontId="0" fillId="0" borderId="24" xfId="0" applyNumberFormat="1" applyBorder="1" applyAlignment="1">
      <alignment/>
    </xf>
    <xf numFmtId="0" fontId="0" fillId="0" borderId="63" xfId="0" applyBorder="1" applyAlignment="1">
      <alignment wrapText="1" shrinkToFit="1"/>
    </xf>
    <xf numFmtId="0" fontId="0" fillId="0" borderId="64" xfId="0" applyBorder="1" applyAlignment="1">
      <alignment wrapText="1" shrinkToFit="1"/>
    </xf>
    <xf numFmtId="0" fontId="0" fillId="0" borderId="65" xfId="0" applyBorder="1" applyAlignment="1">
      <alignment wrapText="1" shrinkToFit="1"/>
    </xf>
    <xf numFmtId="164" fontId="0" fillId="0" borderId="18" xfId="0" applyNumberFormat="1" applyBorder="1" applyAlignment="1">
      <alignment/>
    </xf>
    <xf numFmtId="0" fontId="2" fillId="0" borderId="60" xfId="0" applyFont="1" applyBorder="1" applyAlignment="1">
      <alignment/>
    </xf>
    <xf numFmtId="3" fontId="2" fillId="0" borderId="61" xfId="0" applyNumberFormat="1" applyFont="1" applyBorder="1" applyAlignment="1">
      <alignment/>
    </xf>
    <xf numFmtId="185" fontId="2" fillId="34" borderId="66" xfId="0" applyNumberFormat="1" applyFont="1" applyFill="1" applyBorder="1" applyAlignment="1">
      <alignment/>
    </xf>
    <xf numFmtId="185" fontId="2" fillId="35" borderId="66" xfId="0" applyNumberFormat="1" applyFont="1" applyFill="1" applyBorder="1" applyAlignment="1">
      <alignment/>
    </xf>
    <xf numFmtId="1" fontId="0" fillId="0" borderId="50" xfId="0" applyNumberFormat="1" applyBorder="1" applyAlignment="1">
      <alignment/>
    </xf>
    <xf numFmtId="3" fontId="0" fillId="0" borderId="36" xfId="0" applyNumberFormat="1" applyBorder="1" applyAlignment="1">
      <alignment/>
    </xf>
    <xf numFmtId="3" fontId="0" fillId="0" borderId="44" xfId="0" applyNumberFormat="1" applyBorder="1" applyAlignment="1">
      <alignment/>
    </xf>
    <xf numFmtId="182" fontId="0" fillId="0" borderId="67" xfId="0" applyNumberFormat="1" applyBorder="1" applyAlignment="1">
      <alignment/>
    </xf>
    <xf numFmtId="182" fontId="0" fillId="0" borderId="68" xfId="0" applyNumberFormat="1" applyBorder="1" applyAlignment="1">
      <alignment/>
    </xf>
    <xf numFmtId="182" fontId="0" fillId="0" borderId="69" xfId="0" applyNumberFormat="1" applyBorder="1" applyAlignment="1">
      <alignment/>
    </xf>
    <xf numFmtId="1" fontId="0" fillId="0" borderId="70" xfId="0" applyNumberFormat="1" applyBorder="1" applyAlignment="1">
      <alignment/>
    </xf>
    <xf numFmtId="3" fontId="0" fillId="0" borderId="49" xfId="0" applyNumberFormat="1" applyBorder="1" applyAlignment="1">
      <alignment/>
    </xf>
    <xf numFmtId="182" fontId="2" fillId="34" borderId="51" xfId="0" applyNumberFormat="1" applyFont="1" applyFill="1" applyBorder="1" applyAlignment="1">
      <alignment/>
    </xf>
    <xf numFmtId="182" fontId="2" fillId="35" borderId="51" xfId="0" applyNumberFormat="1" applyFont="1" applyFill="1" applyBorder="1" applyAlignment="1">
      <alignment/>
    </xf>
    <xf numFmtId="0" fontId="2" fillId="0" borderId="60" xfId="0" applyFont="1" applyBorder="1" applyAlignment="1">
      <alignment horizontal="center" vertical="center" wrapText="1" shrinkToFit="1"/>
    </xf>
    <xf numFmtId="0" fontId="2" fillId="0" borderId="61" xfId="0" applyFont="1" applyBorder="1" applyAlignment="1">
      <alignment horizontal="center" vertical="center" wrapText="1" shrinkToFit="1"/>
    </xf>
    <xf numFmtId="182" fontId="2" fillId="0" borderId="66" xfId="0" applyNumberFormat="1" applyFont="1" applyBorder="1" applyAlignment="1">
      <alignment horizontal="center" vertical="center" wrapText="1" shrinkToFit="1"/>
    </xf>
    <xf numFmtId="3" fontId="2" fillId="0" borderId="33" xfId="0" applyNumberFormat="1" applyFont="1" applyFill="1" applyBorder="1" applyAlignment="1">
      <alignment/>
    </xf>
    <xf numFmtId="0" fontId="2" fillId="0" borderId="51" xfId="0" applyFont="1" applyBorder="1" applyAlignment="1">
      <alignment/>
    </xf>
    <xf numFmtId="3" fontId="2" fillId="0" borderId="52" xfId="0" applyNumberFormat="1" applyFont="1" applyBorder="1" applyAlignment="1">
      <alignment/>
    </xf>
    <xf numFmtId="3" fontId="2" fillId="0" borderId="42" xfId="0" applyNumberFormat="1" applyFont="1" applyBorder="1" applyAlignment="1">
      <alignment/>
    </xf>
    <xf numFmtId="3" fontId="0" fillId="0" borderId="63" xfId="0" applyNumberFormat="1" applyFill="1" applyBorder="1" applyAlignment="1">
      <alignment/>
    </xf>
    <xf numFmtId="0" fontId="0" fillId="0" borderId="63" xfId="0" applyBorder="1" applyAlignment="1">
      <alignment/>
    </xf>
    <xf numFmtId="0" fontId="7" fillId="0" borderId="0" xfId="0" applyFont="1" applyAlignment="1">
      <alignment/>
    </xf>
    <xf numFmtId="3" fontId="2" fillId="0" borderId="0" xfId="0" applyNumberFormat="1" applyFont="1" applyFill="1" applyBorder="1" applyAlignment="1">
      <alignment/>
    </xf>
    <xf numFmtId="182" fontId="2" fillId="0" borderId="0" xfId="0" applyNumberFormat="1" applyFont="1" applyFill="1" applyBorder="1" applyAlignment="1">
      <alignment/>
    </xf>
    <xf numFmtId="182" fontId="0" fillId="0" borderId="0" xfId="0" applyNumberFormat="1" applyFill="1" applyBorder="1" applyAlignment="1">
      <alignment/>
    </xf>
    <xf numFmtId="0" fontId="0" fillId="0" borderId="0" xfId="0" applyFill="1" applyAlignment="1">
      <alignment/>
    </xf>
    <xf numFmtId="182" fontId="0" fillId="0" borderId="65" xfId="0" applyNumberFormat="1" applyFont="1" applyBorder="1" applyAlignment="1">
      <alignment/>
    </xf>
    <xf numFmtId="0" fontId="0" fillId="0" borderId="46" xfId="0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39" xfId="0" applyFill="1" applyBorder="1" applyAlignment="1">
      <alignment/>
    </xf>
    <xf numFmtId="182" fontId="0" fillId="0" borderId="0" xfId="0" applyNumberFormat="1" applyFont="1" applyFill="1" applyBorder="1" applyAlignment="1">
      <alignment/>
    </xf>
    <xf numFmtId="182" fontId="0" fillId="0" borderId="58" xfId="0" applyNumberFormat="1" applyBorder="1" applyAlignment="1">
      <alignment/>
    </xf>
    <xf numFmtId="182" fontId="0" fillId="0" borderId="40" xfId="0" applyNumberFormat="1" applyBorder="1" applyAlignment="1">
      <alignment/>
    </xf>
    <xf numFmtId="3" fontId="0" fillId="0" borderId="40" xfId="0" applyNumberFormat="1" applyBorder="1" applyAlignment="1">
      <alignment/>
    </xf>
    <xf numFmtId="185" fontId="2" fillId="34" borderId="47" xfId="0" applyNumberFormat="1" applyFont="1" applyFill="1" applyBorder="1" applyAlignment="1">
      <alignment/>
    </xf>
    <xf numFmtId="185" fontId="2" fillId="35" borderId="47" xfId="0" applyNumberFormat="1" applyFont="1" applyFill="1" applyBorder="1" applyAlignment="1">
      <alignment/>
    </xf>
    <xf numFmtId="0" fontId="0" fillId="0" borderId="71" xfId="0" applyBorder="1" applyAlignment="1">
      <alignment/>
    </xf>
    <xf numFmtId="3" fontId="0" fillId="0" borderId="50" xfId="0" applyNumberFormat="1" applyBorder="1" applyAlignment="1">
      <alignment/>
    </xf>
    <xf numFmtId="0" fontId="0" fillId="0" borderId="39" xfId="0" applyFont="1" applyBorder="1" applyAlignment="1">
      <alignment/>
    </xf>
    <xf numFmtId="0" fontId="0" fillId="0" borderId="71" xfId="0" applyFont="1" applyBorder="1" applyAlignment="1">
      <alignment/>
    </xf>
    <xf numFmtId="0" fontId="2" fillId="34" borderId="51" xfId="0" applyFont="1" applyFill="1" applyBorder="1" applyAlignment="1">
      <alignment horizontal="center"/>
    </xf>
    <xf numFmtId="0" fontId="2" fillId="35" borderId="27" xfId="0" applyFont="1" applyFill="1" applyBorder="1" applyAlignment="1">
      <alignment horizontal="center"/>
    </xf>
    <xf numFmtId="9" fontId="0" fillId="0" borderId="33" xfId="0" applyNumberFormat="1" applyBorder="1" applyAlignment="1">
      <alignment horizontal="right"/>
    </xf>
    <xf numFmtId="9" fontId="0" fillId="0" borderId="53" xfId="0" applyNumberFormat="1" applyBorder="1" applyAlignment="1">
      <alignment horizontal="right"/>
    </xf>
    <xf numFmtId="182" fontId="0" fillId="0" borderId="61" xfId="0" applyNumberFormat="1" applyBorder="1" applyAlignment="1">
      <alignment/>
    </xf>
    <xf numFmtId="3" fontId="2" fillId="0" borderId="56" xfId="0" applyNumberFormat="1" applyFont="1" applyBorder="1" applyAlignment="1">
      <alignment/>
    </xf>
    <xf numFmtId="0" fontId="2" fillId="0" borderId="56" xfId="0" applyFont="1" applyFill="1" applyBorder="1" applyAlignment="1">
      <alignment/>
    </xf>
    <xf numFmtId="0" fontId="2" fillId="0" borderId="10" xfId="0" applyFont="1" applyBorder="1" applyAlignment="1">
      <alignment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/>
    </xf>
    <xf numFmtId="3" fontId="0" fillId="0" borderId="72" xfId="0" applyNumberFormat="1" applyBorder="1" applyAlignment="1">
      <alignment/>
    </xf>
    <xf numFmtId="3" fontId="0" fillId="0" borderId="50" xfId="0" applyNumberFormat="1" applyFill="1" applyBorder="1" applyAlignment="1">
      <alignment/>
    </xf>
    <xf numFmtId="0" fontId="0" fillId="0" borderId="50" xfId="0" applyFill="1" applyBorder="1" applyAlignment="1">
      <alignment/>
    </xf>
    <xf numFmtId="0" fontId="2" fillId="0" borderId="51" xfId="0" applyFont="1" applyFill="1" applyBorder="1" applyAlignment="1">
      <alignment/>
    </xf>
    <xf numFmtId="3" fontId="2" fillId="0" borderId="52" xfId="0" applyNumberFormat="1" applyFont="1" applyFill="1" applyBorder="1" applyAlignment="1">
      <alignment/>
    </xf>
    <xf numFmtId="0" fontId="0" fillId="0" borderId="56" xfId="0" applyFill="1" applyBorder="1" applyAlignment="1">
      <alignment/>
    </xf>
    <xf numFmtId="3" fontId="2" fillId="0" borderId="0" xfId="0" applyNumberFormat="1" applyFont="1" applyBorder="1" applyAlignment="1">
      <alignment/>
    </xf>
    <xf numFmtId="4" fontId="2" fillId="0" borderId="42" xfId="0" applyNumberFormat="1" applyFont="1" applyBorder="1" applyAlignment="1">
      <alignment/>
    </xf>
    <xf numFmtId="4" fontId="0" fillId="0" borderId="42" xfId="0" applyNumberFormat="1" applyBorder="1" applyAlignment="1">
      <alignment/>
    </xf>
    <xf numFmtId="4" fontId="0" fillId="0" borderId="33" xfId="0" applyNumberFormat="1" applyBorder="1" applyAlignment="1">
      <alignment/>
    </xf>
    <xf numFmtId="4" fontId="0" fillId="0" borderId="45" xfId="0" applyNumberFormat="1" applyBorder="1" applyAlignment="1">
      <alignment/>
    </xf>
    <xf numFmtId="4" fontId="0" fillId="0" borderId="56" xfId="0" applyNumberFormat="1" applyBorder="1" applyAlignment="1">
      <alignment/>
    </xf>
    <xf numFmtId="4" fontId="0" fillId="0" borderId="17" xfId="0" applyNumberFormat="1" applyBorder="1" applyAlignment="1">
      <alignment/>
    </xf>
    <xf numFmtId="4" fontId="0" fillId="0" borderId="50" xfId="0" applyNumberFormat="1" applyBorder="1" applyAlignment="1">
      <alignment/>
    </xf>
    <xf numFmtId="4" fontId="0" fillId="0" borderId="0" xfId="0" applyNumberFormat="1" applyBorder="1" applyAlignment="1">
      <alignment/>
    </xf>
    <xf numFmtId="4" fontId="0" fillId="0" borderId="49" xfId="0" applyNumberFormat="1" applyBorder="1" applyAlignment="1">
      <alignment/>
    </xf>
    <xf numFmtId="4" fontId="2" fillId="34" borderId="52" xfId="0" applyNumberFormat="1" applyFont="1" applyFill="1" applyBorder="1" applyAlignment="1">
      <alignment/>
    </xf>
    <xf numFmtId="4" fontId="2" fillId="35" borderId="52" xfId="0" applyNumberFormat="1" applyFont="1" applyFill="1" applyBorder="1" applyAlignment="1">
      <alignment/>
    </xf>
    <xf numFmtId="4" fontId="0" fillId="0" borderId="56" xfId="0" applyNumberFormat="1" applyFill="1" applyBorder="1" applyAlignment="1">
      <alignment/>
    </xf>
    <xf numFmtId="4" fontId="0" fillId="0" borderId="70" xfId="0" applyNumberFormat="1" applyFill="1" applyBorder="1" applyAlignment="1">
      <alignment/>
    </xf>
    <xf numFmtId="4" fontId="0" fillId="0" borderId="33" xfId="0" applyNumberFormat="1" applyFill="1" applyBorder="1" applyAlignment="1">
      <alignment/>
    </xf>
    <xf numFmtId="4" fontId="0" fillId="0" borderId="16" xfId="0" applyNumberFormat="1" applyBorder="1" applyAlignment="1">
      <alignment/>
    </xf>
    <xf numFmtId="4" fontId="0" fillId="0" borderId="57" xfId="0" applyNumberFormat="1" applyBorder="1" applyAlignment="1">
      <alignment/>
    </xf>
    <xf numFmtId="4" fontId="0" fillId="0" borderId="58" xfId="0" applyNumberFormat="1" applyBorder="1" applyAlignment="1">
      <alignment/>
    </xf>
    <xf numFmtId="4" fontId="0" fillId="0" borderId="62" xfId="0" applyNumberFormat="1" applyBorder="1" applyAlignment="1">
      <alignment/>
    </xf>
    <xf numFmtId="4" fontId="0" fillId="0" borderId="46" xfId="0" applyNumberFormat="1" applyBorder="1" applyAlignment="1">
      <alignment/>
    </xf>
    <xf numFmtId="4" fontId="0" fillId="0" borderId="52" xfId="0" applyNumberFormat="1" applyBorder="1" applyAlignment="1">
      <alignment/>
    </xf>
    <xf numFmtId="4" fontId="0" fillId="0" borderId="0" xfId="0" applyNumberFormat="1" applyAlignment="1">
      <alignment/>
    </xf>
    <xf numFmtId="4" fontId="2" fillId="33" borderId="10" xfId="0" applyNumberFormat="1" applyFont="1" applyFill="1" applyBorder="1" applyAlignment="1">
      <alignment/>
    </xf>
    <xf numFmtId="190" fontId="0" fillId="0" borderId="10" xfId="0" applyNumberFormat="1" applyBorder="1" applyAlignment="1">
      <alignment/>
    </xf>
    <xf numFmtId="190" fontId="0" fillId="0" borderId="0" xfId="0" applyNumberFormat="1" applyAlignment="1">
      <alignment/>
    </xf>
    <xf numFmtId="0" fontId="2" fillId="36" borderId="34" xfId="0" applyFont="1" applyFill="1" applyBorder="1" applyAlignment="1">
      <alignment horizontal="center"/>
    </xf>
    <xf numFmtId="0" fontId="2" fillId="34" borderId="33" xfId="0" applyFont="1" applyFill="1" applyBorder="1" applyAlignment="1">
      <alignment horizontal="center"/>
    </xf>
    <xf numFmtId="0" fontId="2" fillId="35" borderId="35" xfId="0" applyFont="1" applyFill="1" applyBorder="1" applyAlignment="1">
      <alignment horizontal="center"/>
    </xf>
    <xf numFmtId="0" fontId="0" fillId="0" borderId="73" xfId="0" applyBorder="1" applyAlignment="1">
      <alignment wrapText="1" shrinkToFit="1"/>
    </xf>
    <xf numFmtId="0" fontId="0" fillId="0" borderId="62" xfId="0" applyBorder="1" applyAlignment="1">
      <alignment wrapText="1" shrinkToFit="1"/>
    </xf>
    <xf numFmtId="182" fontId="0" fillId="0" borderId="23" xfId="0" applyNumberFormat="1" applyBorder="1" applyAlignment="1">
      <alignment/>
    </xf>
    <xf numFmtId="0" fontId="2" fillId="36" borderId="33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3" fontId="0" fillId="0" borderId="0" xfId="0" applyNumberFormat="1" applyFill="1" applyBorder="1" applyAlignment="1">
      <alignment/>
    </xf>
    <xf numFmtId="4" fontId="2" fillId="35" borderId="0" xfId="0" applyNumberFormat="1" applyFont="1" applyFill="1" applyBorder="1" applyAlignment="1">
      <alignment/>
    </xf>
    <xf numFmtId="4" fontId="0" fillId="0" borderId="0" xfId="0" applyNumberFormat="1" applyFill="1" applyBorder="1" applyAlignment="1">
      <alignment/>
    </xf>
    <xf numFmtId="4" fontId="2" fillId="0" borderId="0" xfId="0" applyNumberFormat="1" applyFont="1" applyFill="1" applyBorder="1" applyAlignment="1">
      <alignment/>
    </xf>
    <xf numFmtId="4" fontId="0" fillId="0" borderId="39" xfId="0" applyNumberFormat="1" applyFill="1" applyBorder="1" applyAlignment="1">
      <alignment/>
    </xf>
    <xf numFmtId="3" fontId="0" fillId="0" borderId="39" xfId="0" applyNumberFormat="1" applyFill="1" applyBorder="1" applyAlignment="1">
      <alignment/>
    </xf>
    <xf numFmtId="4" fontId="2" fillId="0" borderId="39" xfId="0" applyNumberFormat="1" applyFont="1" applyFill="1" applyBorder="1" applyAlignment="1">
      <alignment/>
    </xf>
    <xf numFmtId="0" fontId="0" fillId="34" borderId="51" xfId="0" applyFill="1" applyBorder="1" applyAlignment="1">
      <alignment/>
    </xf>
    <xf numFmtId="0" fontId="0" fillId="0" borderId="50" xfId="0" applyBorder="1" applyAlignment="1">
      <alignment wrapText="1" shrinkToFit="1"/>
    </xf>
    <xf numFmtId="0" fontId="0" fillId="0" borderId="44" xfId="0" applyFill="1" applyBorder="1" applyAlignment="1">
      <alignment/>
    </xf>
    <xf numFmtId="182" fontId="0" fillId="0" borderId="74" xfId="0" applyNumberFormat="1" applyBorder="1" applyAlignment="1">
      <alignment/>
    </xf>
    <xf numFmtId="182" fontId="0" fillId="0" borderId="44" xfId="0" applyNumberFormat="1" applyBorder="1" applyAlignment="1">
      <alignment wrapText="1" shrinkToFit="1"/>
    </xf>
    <xf numFmtId="182" fontId="0" fillId="0" borderId="75" xfId="0" applyNumberFormat="1" applyBorder="1" applyAlignment="1">
      <alignment wrapText="1" shrinkToFit="1"/>
    </xf>
    <xf numFmtId="0" fontId="0" fillId="36" borderId="51" xfId="0" applyFill="1" applyBorder="1" applyAlignment="1">
      <alignment/>
    </xf>
    <xf numFmtId="4" fontId="2" fillId="36" borderId="52" xfId="0" applyNumberFormat="1" applyFont="1" applyFill="1" applyBorder="1" applyAlignment="1">
      <alignment/>
    </xf>
    <xf numFmtId="182" fontId="2" fillId="36" borderId="53" xfId="0" applyNumberFormat="1" applyFont="1" applyFill="1" applyBorder="1" applyAlignment="1">
      <alignment/>
    </xf>
    <xf numFmtId="0" fontId="2" fillId="0" borderId="0" xfId="0" applyFont="1" applyFill="1" applyBorder="1" applyAlignment="1">
      <alignment horizontal="left"/>
    </xf>
    <xf numFmtId="0" fontId="0" fillId="0" borderId="63" xfId="0" applyFont="1" applyBorder="1" applyAlignment="1">
      <alignment/>
    </xf>
    <xf numFmtId="0" fontId="0" fillId="0" borderId="64" xfId="0" applyFont="1" applyBorder="1" applyAlignment="1">
      <alignment/>
    </xf>
    <xf numFmtId="182" fontId="0" fillId="0" borderId="64" xfId="0" applyNumberFormat="1" applyFont="1" applyBorder="1" applyAlignment="1">
      <alignment/>
    </xf>
    <xf numFmtId="3" fontId="2" fillId="0" borderId="62" xfId="0" applyNumberFormat="1" applyFont="1" applyBorder="1" applyAlignment="1">
      <alignment/>
    </xf>
    <xf numFmtId="3" fontId="2" fillId="0" borderId="70" xfId="0" applyNumberFormat="1" applyFont="1" applyBorder="1" applyAlignment="1">
      <alignment/>
    </xf>
    <xf numFmtId="182" fontId="2" fillId="0" borderId="62" xfId="0" applyNumberFormat="1" applyFont="1" applyFill="1" applyBorder="1" applyAlignment="1">
      <alignment/>
    </xf>
    <xf numFmtId="182" fontId="2" fillId="34" borderId="56" xfId="0" applyNumberFormat="1" applyFont="1" applyFill="1" applyBorder="1" applyAlignment="1">
      <alignment/>
    </xf>
    <xf numFmtId="182" fontId="2" fillId="0" borderId="70" xfId="0" applyNumberFormat="1" applyFont="1" applyFill="1" applyBorder="1" applyAlignment="1">
      <alignment/>
    </xf>
    <xf numFmtId="182" fontId="2" fillId="35" borderId="56" xfId="0" applyNumberFormat="1" applyFont="1" applyFill="1" applyBorder="1" applyAlignment="1">
      <alignment/>
    </xf>
    <xf numFmtId="182" fontId="2" fillId="36" borderId="56" xfId="0" applyNumberFormat="1" applyFont="1" applyFill="1" applyBorder="1" applyAlignment="1">
      <alignment/>
    </xf>
    <xf numFmtId="182" fontId="0" fillId="0" borderId="45" xfId="0" applyNumberFormat="1" applyBorder="1" applyAlignment="1">
      <alignment wrapText="1" shrinkToFit="1"/>
    </xf>
    <xf numFmtId="3" fontId="0" fillId="0" borderId="69" xfId="0" applyNumberFormat="1" applyBorder="1" applyAlignment="1">
      <alignment/>
    </xf>
    <xf numFmtId="4" fontId="2" fillId="34" borderId="33" xfId="0" applyNumberFormat="1" applyFont="1" applyFill="1" applyBorder="1" applyAlignment="1">
      <alignment/>
    </xf>
    <xf numFmtId="4" fontId="2" fillId="35" borderId="53" xfId="0" applyNumberFormat="1" applyFont="1" applyFill="1" applyBorder="1" applyAlignment="1">
      <alignment/>
    </xf>
    <xf numFmtId="4" fontId="2" fillId="36" borderId="33" xfId="0" applyNumberFormat="1" applyFont="1" applyFill="1" applyBorder="1" applyAlignment="1">
      <alignment/>
    </xf>
    <xf numFmtId="185" fontId="2" fillId="36" borderId="47" xfId="0" applyNumberFormat="1" applyFont="1" applyFill="1" applyBorder="1" applyAlignment="1">
      <alignment/>
    </xf>
    <xf numFmtId="182" fontId="2" fillId="36" borderId="33" xfId="0" applyNumberFormat="1" applyFont="1" applyFill="1" applyBorder="1" applyAlignment="1">
      <alignment/>
    </xf>
    <xf numFmtId="3" fontId="0" fillId="0" borderId="18" xfId="0" applyNumberFormat="1" applyFont="1" applyFill="1" applyBorder="1" applyAlignment="1">
      <alignment/>
    </xf>
    <xf numFmtId="0" fontId="0" fillId="0" borderId="0" xfId="0" applyFont="1" applyFill="1" applyAlignment="1">
      <alignment/>
    </xf>
    <xf numFmtId="4" fontId="0" fillId="0" borderId="74" xfId="0" applyNumberFormat="1" applyFill="1" applyBorder="1" applyAlignment="1">
      <alignment/>
    </xf>
    <xf numFmtId="4" fontId="0" fillId="0" borderId="44" xfId="0" applyNumberFormat="1" applyFill="1" applyBorder="1" applyAlignment="1">
      <alignment/>
    </xf>
    <xf numFmtId="4" fontId="0" fillId="0" borderId="75" xfId="0" applyNumberFormat="1" applyFill="1" applyBorder="1" applyAlignment="1">
      <alignment/>
    </xf>
    <xf numFmtId="0" fontId="0" fillId="0" borderId="74" xfId="0" applyFill="1" applyBorder="1" applyAlignment="1">
      <alignment/>
    </xf>
    <xf numFmtId="0" fontId="0" fillId="0" borderId="75" xfId="0" applyFill="1" applyBorder="1" applyAlignment="1">
      <alignment/>
    </xf>
    <xf numFmtId="0" fontId="0" fillId="0" borderId="0" xfId="0" applyFill="1" applyBorder="1" applyAlignment="1">
      <alignment horizontal="center"/>
    </xf>
    <xf numFmtId="4" fontId="0" fillId="0" borderId="10" xfId="0" applyNumberFormat="1" applyFill="1" applyBorder="1" applyAlignment="1">
      <alignment/>
    </xf>
    <xf numFmtId="4" fontId="0" fillId="0" borderId="24" xfId="0" applyNumberFormat="1" applyFill="1" applyBorder="1" applyAlignment="1">
      <alignment/>
    </xf>
    <xf numFmtId="0" fontId="2" fillId="0" borderId="26" xfId="0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72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4" fontId="0" fillId="0" borderId="18" xfId="0" applyNumberFormat="1" applyFill="1" applyBorder="1" applyAlignment="1">
      <alignment/>
    </xf>
    <xf numFmtId="0" fontId="0" fillId="0" borderId="19" xfId="0" applyFont="1" applyFill="1" applyBorder="1" applyAlignment="1">
      <alignment horizontal="center"/>
    </xf>
    <xf numFmtId="4" fontId="0" fillId="0" borderId="76" xfId="0" applyNumberFormat="1" applyFill="1" applyBorder="1" applyAlignment="1">
      <alignment/>
    </xf>
    <xf numFmtId="4" fontId="0" fillId="0" borderId="21" xfId="0" applyNumberFormat="1" applyFill="1" applyBorder="1" applyAlignment="1">
      <alignment/>
    </xf>
    <xf numFmtId="4" fontId="0" fillId="0" borderId="36" xfId="0" applyNumberFormat="1" applyFill="1" applyBorder="1" applyAlignment="1">
      <alignment/>
    </xf>
    <xf numFmtId="4" fontId="0" fillId="0" borderId="77" xfId="0" applyNumberFormat="1" applyFill="1" applyBorder="1" applyAlignment="1">
      <alignment/>
    </xf>
    <xf numFmtId="4" fontId="0" fillId="0" borderId="22" xfId="0" applyNumberFormat="1" applyFill="1" applyBorder="1" applyAlignment="1">
      <alignment/>
    </xf>
    <xf numFmtId="4" fontId="0" fillId="0" borderId="23" xfId="0" applyNumberFormat="1" applyFill="1" applyBorder="1" applyAlignment="1">
      <alignment/>
    </xf>
    <xf numFmtId="0" fontId="0" fillId="0" borderId="0" xfId="0" applyFill="1" applyBorder="1" applyAlignment="1">
      <alignment horizontal="right"/>
    </xf>
    <xf numFmtId="3" fontId="0" fillId="0" borderId="22" xfId="0" applyNumberFormat="1" applyFill="1" applyBorder="1" applyAlignment="1">
      <alignment/>
    </xf>
    <xf numFmtId="0" fontId="0" fillId="0" borderId="36" xfId="0" applyFill="1" applyBorder="1" applyAlignment="1">
      <alignment/>
    </xf>
    <xf numFmtId="4" fontId="0" fillId="0" borderId="78" xfId="0" applyNumberFormat="1" applyFill="1" applyBorder="1" applyAlignment="1">
      <alignment/>
    </xf>
    <xf numFmtId="4" fontId="0" fillId="0" borderId="69" xfId="0" applyNumberFormat="1" applyFill="1" applyBorder="1" applyAlignment="1">
      <alignment/>
    </xf>
    <xf numFmtId="4" fontId="2" fillId="35" borderId="69" xfId="0" applyNumberFormat="1" applyFont="1" applyFill="1" applyBorder="1" applyAlignment="1">
      <alignment/>
    </xf>
    <xf numFmtId="0" fontId="0" fillId="0" borderId="25" xfId="0" applyBorder="1" applyAlignment="1">
      <alignment/>
    </xf>
    <xf numFmtId="4" fontId="2" fillId="36" borderId="69" xfId="0" applyNumberFormat="1" applyFont="1" applyFill="1" applyBorder="1" applyAlignment="1">
      <alignment/>
    </xf>
    <xf numFmtId="185" fontId="2" fillId="36" borderId="66" xfId="0" applyNumberFormat="1" applyFont="1" applyFill="1" applyBorder="1" applyAlignment="1">
      <alignment/>
    </xf>
    <xf numFmtId="164" fontId="2" fillId="36" borderId="33" xfId="0" applyNumberFormat="1" applyFont="1" applyFill="1" applyBorder="1" applyAlignment="1">
      <alignment/>
    </xf>
    <xf numFmtId="0" fontId="0" fillId="0" borderId="16" xfId="0" applyFill="1" applyBorder="1" applyAlignment="1">
      <alignment/>
    </xf>
    <xf numFmtId="3" fontId="2" fillId="0" borderId="40" xfId="0" applyNumberFormat="1" applyFont="1" applyBorder="1" applyAlignment="1">
      <alignment/>
    </xf>
    <xf numFmtId="3" fontId="2" fillId="0" borderId="39" xfId="0" applyNumberFormat="1" applyFont="1" applyFill="1" applyBorder="1" applyAlignment="1">
      <alignment/>
    </xf>
    <xf numFmtId="4" fontId="0" fillId="34" borderId="51" xfId="0" applyNumberFormat="1" applyFill="1" applyBorder="1" applyAlignment="1">
      <alignment/>
    </xf>
    <xf numFmtId="4" fontId="2" fillId="34" borderId="50" xfId="0" applyNumberFormat="1" applyFont="1" applyFill="1" applyBorder="1" applyAlignment="1">
      <alignment/>
    </xf>
    <xf numFmtId="4" fontId="0" fillId="34" borderId="52" xfId="0" applyNumberFormat="1" applyFill="1" applyBorder="1" applyAlignment="1">
      <alignment/>
    </xf>
    <xf numFmtId="4" fontId="0" fillId="35" borderId="72" xfId="0" applyNumberFormat="1" applyFill="1" applyBorder="1" applyAlignment="1">
      <alignment/>
    </xf>
    <xf numFmtId="4" fontId="0" fillId="35" borderId="42" xfId="0" applyNumberFormat="1" applyFill="1" applyBorder="1" applyAlignment="1">
      <alignment/>
    </xf>
    <xf numFmtId="4" fontId="0" fillId="36" borderId="26" xfId="0" applyNumberFormat="1" applyFill="1" applyBorder="1" applyAlignment="1">
      <alignment/>
    </xf>
    <xf numFmtId="4" fontId="2" fillId="36" borderId="39" xfId="0" applyNumberFormat="1" applyFont="1" applyFill="1" applyBorder="1" applyAlignment="1">
      <alignment/>
    </xf>
    <xf numFmtId="4" fontId="0" fillId="36" borderId="40" xfId="0" applyNumberFormat="1" applyFill="1" applyBorder="1" applyAlignment="1">
      <alignment/>
    </xf>
    <xf numFmtId="0" fontId="2" fillId="0" borderId="62" xfId="0" applyFont="1" applyFill="1" applyBorder="1" applyAlignment="1">
      <alignment/>
    </xf>
    <xf numFmtId="186" fontId="0" fillId="0" borderId="65" xfId="0" applyNumberFormat="1" applyFill="1" applyBorder="1" applyAlignment="1">
      <alignment/>
    </xf>
    <xf numFmtId="0" fontId="2" fillId="0" borderId="70" xfId="0" applyFont="1" applyFill="1" applyBorder="1" applyAlignment="1">
      <alignment/>
    </xf>
    <xf numFmtId="3" fontId="0" fillId="0" borderId="19" xfId="0" applyNumberFormat="1" applyFill="1" applyBorder="1" applyAlignment="1">
      <alignment/>
    </xf>
    <xf numFmtId="0" fontId="9" fillId="0" borderId="56" xfId="0" applyFont="1" applyFill="1" applyBorder="1" applyAlignment="1">
      <alignment/>
    </xf>
    <xf numFmtId="3" fontId="10" fillId="0" borderId="18" xfId="0" applyNumberFormat="1" applyFont="1" applyFill="1" applyBorder="1" applyAlignment="1">
      <alignment/>
    </xf>
    <xf numFmtId="186" fontId="10" fillId="0" borderId="24" xfId="0" applyNumberFormat="1" applyFont="1" applyFill="1" applyBorder="1" applyAlignment="1">
      <alignment/>
    </xf>
    <xf numFmtId="186" fontId="0" fillId="0" borderId="64" xfId="0" applyNumberFormat="1" applyFill="1" applyBorder="1" applyAlignment="1">
      <alignment/>
    </xf>
    <xf numFmtId="186" fontId="10" fillId="0" borderId="10" xfId="0" applyNumberFormat="1" applyFont="1" applyFill="1" applyBorder="1" applyAlignment="1">
      <alignment/>
    </xf>
    <xf numFmtId="186" fontId="0" fillId="0" borderId="10" xfId="0" applyNumberFormat="1" applyFont="1" applyFill="1" applyBorder="1" applyAlignment="1">
      <alignment/>
    </xf>
    <xf numFmtId="186" fontId="0" fillId="0" borderId="20" xfId="0" applyNumberFormat="1" applyFill="1" applyBorder="1" applyAlignment="1">
      <alignment/>
    </xf>
    <xf numFmtId="186" fontId="0" fillId="0" borderId="0" xfId="0" applyNumberFormat="1" applyBorder="1" applyAlignment="1">
      <alignment/>
    </xf>
    <xf numFmtId="186" fontId="0" fillId="0" borderId="24" xfId="0" applyNumberFormat="1" applyFont="1" applyFill="1" applyBorder="1" applyAlignment="1">
      <alignment/>
    </xf>
    <xf numFmtId="186" fontId="0" fillId="0" borderId="25" xfId="0" applyNumberFormat="1" applyFill="1" applyBorder="1" applyAlignment="1">
      <alignment/>
    </xf>
    <xf numFmtId="186" fontId="0" fillId="0" borderId="45" xfId="0" applyNumberFormat="1" applyBorder="1" applyAlignment="1">
      <alignment/>
    </xf>
    <xf numFmtId="0" fontId="2" fillId="34" borderId="61" xfId="0" applyFont="1" applyFill="1" applyBorder="1" applyAlignment="1">
      <alignment horizontal="center"/>
    </xf>
    <xf numFmtId="185" fontId="0" fillId="0" borderId="22" xfId="0" applyNumberFormat="1" applyBorder="1" applyAlignment="1">
      <alignment/>
    </xf>
    <xf numFmtId="0" fontId="0" fillId="0" borderId="36" xfId="0" applyBorder="1" applyAlignment="1">
      <alignment/>
    </xf>
    <xf numFmtId="0" fontId="0" fillId="34" borderId="48" xfId="0" applyFill="1" applyBorder="1" applyAlignment="1">
      <alignment/>
    </xf>
    <xf numFmtId="0" fontId="0" fillId="35" borderId="59" xfId="0" applyFill="1" applyBorder="1" applyAlignment="1">
      <alignment/>
    </xf>
    <xf numFmtId="182" fontId="2" fillId="34" borderId="44" xfId="0" applyNumberFormat="1" applyFont="1" applyFill="1" applyBorder="1" applyAlignment="1">
      <alignment/>
    </xf>
    <xf numFmtId="182" fontId="2" fillId="35" borderId="75" xfId="0" applyNumberFormat="1" applyFont="1" applyFill="1" applyBorder="1" applyAlignment="1">
      <alignment/>
    </xf>
    <xf numFmtId="0" fontId="0" fillId="34" borderId="41" xfId="0" applyFill="1" applyBorder="1" applyAlignment="1">
      <alignment/>
    </xf>
    <xf numFmtId="0" fontId="0" fillId="35" borderId="43" xfId="0" applyFill="1" applyBorder="1" applyAlignment="1">
      <alignment/>
    </xf>
    <xf numFmtId="0" fontId="2" fillId="35" borderId="79" xfId="0" applyFont="1" applyFill="1" applyBorder="1" applyAlignment="1">
      <alignment horizontal="center"/>
    </xf>
    <xf numFmtId="185" fontId="0" fillId="0" borderId="80" xfId="0" applyNumberFormat="1" applyBorder="1" applyAlignment="1">
      <alignment/>
    </xf>
    <xf numFmtId="0" fontId="0" fillId="0" borderId="68" xfId="0" applyBorder="1" applyAlignment="1">
      <alignment/>
    </xf>
    <xf numFmtId="0" fontId="0" fillId="0" borderId="81" xfId="0" applyBorder="1" applyAlignment="1">
      <alignment/>
    </xf>
    <xf numFmtId="185" fontId="0" fillId="0" borderId="65" xfId="0" applyNumberFormat="1" applyFill="1" applyBorder="1" applyAlignment="1">
      <alignment/>
    </xf>
    <xf numFmtId="0" fontId="2" fillId="36" borderId="66" xfId="0" applyFont="1" applyFill="1" applyBorder="1" applyAlignment="1">
      <alignment horizontal="center"/>
    </xf>
    <xf numFmtId="0" fontId="0" fillId="36" borderId="52" xfId="0" applyFill="1" applyBorder="1" applyAlignment="1">
      <alignment/>
    </xf>
    <xf numFmtId="182" fontId="2" fillId="36" borderId="75" xfId="0" applyNumberFormat="1" applyFont="1" applyFill="1" applyBorder="1" applyAlignment="1">
      <alignment/>
    </xf>
    <xf numFmtId="0" fontId="0" fillId="0" borderId="18" xfId="0" applyFont="1" applyFill="1" applyBorder="1" applyAlignment="1">
      <alignment/>
    </xf>
    <xf numFmtId="0" fontId="7" fillId="0" borderId="56" xfId="0" applyFont="1" applyFill="1" applyBorder="1" applyAlignment="1">
      <alignment/>
    </xf>
    <xf numFmtId="3" fontId="11" fillId="0" borderId="18" xfId="0" applyNumberFormat="1" applyFont="1" applyFill="1" applyBorder="1" applyAlignment="1">
      <alignment/>
    </xf>
    <xf numFmtId="186" fontId="11" fillId="0" borderId="10" xfId="0" applyNumberFormat="1" applyFont="1" applyFill="1" applyBorder="1" applyAlignment="1">
      <alignment/>
    </xf>
    <xf numFmtId="186" fontId="11" fillId="0" borderId="24" xfId="0" applyNumberFormat="1" applyFont="1" applyFill="1" applyBorder="1" applyAlignment="1">
      <alignment/>
    </xf>
    <xf numFmtId="0" fontId="11" fillId="0" borderId="0" xfId="0" applyFont="1" applyFill="1" applyAlignment="1">
      <alignment/>
    </xf>
    <xf numFmtId="0" fontId="11" fillId="0" borderId="0" xfId="0" applyFont="1" applyAlignment="1">
      <alignment/>
    </xf>
    <xf numFmtId="0" fontId="10" fillId="0" borderId="0" xfId="0" applyFont="1" applyAlignment="1">
      <alignment/>
    </xf>
    <xf numFmtId="3" fontId="10" fillId="0" borderId="0" xfId="0" applyNumberFormat="1" applyFont="1" applyAlignment="1">
      <alignment/>
    </xf>
    <xf numFmtId="0" fontId="12" fillId="0" borderId="56" xfId="0" applyFont="1" applyFill="1" applyBorder="1" applyAlignment="1">
      <alignment/>
    </xf>
    <xf numFmtId="3" fontId="13" fillId="0" borderId="18" xfId="0" applyNumberFormat="1" applyFont="1" applyFill="1" applyBorder="1" applyAlignment="1">
      <alignment/>
    </xf>
    <xf numFmtId="186" fontId="13" fillId="0" borderId="10" xfId="0" applyNumberFormat="1" applyFont="1" applyFill="1" applyBorder="1" applyAlignment="1">
      <alignment/>
    </xf>
    <xf numFmtId="186" fontId="13" fillId="0" borderId="24" xfId="0" applyNumberFormat="1" applyFont="1" applyFill="1" applyBorder="1" applyAlignment="1">
      <alignment/>
    </xf>
    <xf numFmtId="0" fontId="13" fillId="0" borderId="0" xfId="0" applyFont="1" applyFill="1" applyAlignment="1">
      <alignment/>
    </xf>
    <xf numFmtId="0" fontId="13" fillId="0" borderId="0" xfId="0" applyFont="1" applyAlignment="1">
      <alignment/>
    </xf>
    <xf numFmtId="0" fontId="14" fillId="37" borderId="33" xfId="0" applyFont="1" applyFill="1" applyBorder="1" applyAlignment="1">
      <alignment horizontal="right" vertical="center"/>
    </xf>
    <xf numFmtId="3" fontId="14" fillId="38" borderId="60" xfId="0" applyNumberFormat="1" applyFont="1" applyFill="1" applyBorder="1" applyAlignment="1">
      <alignment horizontal="right" vertical="center"/>
    </xf>
    <xf numFmtId="186" fontId="14" fillId="38" borderId="61" xfId="0" applyNumberFormat="1" applyFont="1" applyFill="1" applyBorder="1" applyAlignment="1">
      <alignment horizontal="right" vertical="center"/>
    </xf>
    <xf numFmtId="186" fontId="15" fillId="38" borderId="66" xfId="0" applyNumberFormat="1" applyFont="1" applyFill="1" applyBorder="1" applyAlignment="1">
      <alignment horizontal="right" vertical="center"/>
    </xf>
    <xf numFmtId="3" fontId="14" fillId="34" borderId="60" xfId="0" applyNumberFormat="1" applyFont="1" applyFill="1" applyBorder="1" applyAlignment="1">
      <alignment horizontal="right" vertical="center"/>
    </xf>
    <xf numFmtId="186" fontId="14" fillId="34" borderId="61" xfId="0" applyNumberFormat="1" applyFont="1" applyFill="1" applyBorder="1" applyAlignment="1">
      <alignment horizontal="right" vertical="center"/>
    </xf>
    <xf numFmtId="186" fontId="15" fillId="34" borderId="66" xfId="0" applyNumberFormat="1" applyFont="1" applyFill="1" applyBorder="1" applyAlignment="1">
      <alignment horizontal="right" vertical="center"/>
    </xf>
    <xf numFmtId="3" fontId="14" fillId="35" borderId="60" xfId="0" applyNumberFormat="1" applyFont="1" applyFill="1" applyBorder="1" applyAlignment="1">
      <alignment horizontal="right" vertical="center"/>
    </xf>
    <xf numFmtId="186" fontId="14" fillId="35" borderId="61" xfId="0" applyNumberFormat="1" applyFont="1" applyFill="1" applyBorder="1" applyAlignment="1">
      <alignment horizontal="right" vertical="center"/>
    </xf>
    <xf numFmtId="186" fontId="15" fillId="35" borderId="66" xfId="0" applyNumberFormat="1" applyFont="1" applyFill="1" applyBorder="1" applyAlignment="1">
      <alignment horizontal="right" vertical="center"/>
    </xf>
    <xf numFmtId="3" fontId="14" fillId="36" borderId="60" xfId="0" applyNumberFormat="1" applyFont="1" applyFill="1" applyBorder="1" applyAlignment="1">
      <alignment horizontal="right" vertical="center"/>
    </xf>
    <xf numFmtId="186" fontId="14" fillId="36" borderId="61" xfId="0" applyNumberFormat="1" applyFont="1" applyFill="1" applyBorder="1" applyAlignment="1">
      <alignment horizontal="right" vertical="center"/>
    </xf>
    <xf numFmtId="186" fontId="15" fillId="36" borderId="66" xfId="0" applyNumberFormat="1" applyFont="1" applyFill="1" applyBorder="1" applyAlignment="1">
      <alignment horizontal="right" vertical="center"/>
    </xf>
    <xf numFmtId="0" fontId="15" fillId="0" borderId="0" xfId="0" applyFont="1" applyAlignment="1">
      <alignment/>
    </xf>
    <xf numFmtId="3" fontId="0" fillId="0" borderId="50" xfId="0" applyNumberFormat="1" applyBorder="1" applyAlignment="1">
      <alignment wrapText="1" shrinkToFit="1"/>
    </xf>
    <xf numFmtId="0" fontId="0" fillId="0" borderId="26" xfId="0" applyBorder="1" applyAlignment="1">
      <alignment wrapText="1" shrinkToFit="1"/>
    </xf>
    <xf numFmtId="0" fontId="0" fillId="0" borderId="40" xfId="0" applyBorder="1" applyAlignment="1">
      <alignment wrapText="1" shrinkToFit="1"/>
    </xf>
    <xf numFmtId="0" fontId="0" fillId="0" borderId="42" xfId="0" applyBorder="1" applyAlignment="1">
      <alignment/>
    </xf>
    <xf numFmtId="0" fontId="2" fillId="0" borderId="35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82" fontId="0" fillId="0" borderId="66" xfId="0" applyNumberFormat="1" applyBorder="1" applyAlignment="1">
      <alignment/>
    </xf>
    <xf numFmtId="186" fontId="0" fillId="0" borderId="60" xfId="0" applyNumberFormat="1" applyBorder="1" applyAlignment="1">
      <alignment/>
    </xf>
    <xf numFmtId="3" fontId="0" fillId="0" borderId="61" xfId="0" applyNumberFormat="1" applyBorder="1" applyAlignment="1">
      <alignment/>
    </xf>
    <xf numFmtId="0" fontId="10" fillId="0" borderId="0" xfId="0" applyFont="1" applyFill="1" applyAlignment="1">
      <alignment/>
    </xf>
    <xf numFmtId="0" fontId="0" fillId="0" borderId="42" xfId="0" applyBorder="1" applyAlignment="1">
      <alignment wrapText="1" shrinkToFit="1"/>
    </xf>
    <xf numFmtId="0" fontId="0" fillId="0" borderId="72" xfId="0" applyBorder="1" applyAlignment="1">
      <alignment wrapText="1" shrinkToFit="1"/>
    </xf>
    <xf numFmtId="0" fontId="2" fillId="0" borderId="78" xfId="0" applyFont="1" applyBorder="1" applyAlignment="1">
      <alignment/>
    </xf>
    <xf numFmtId="0" fontId="2" fillId="0" borderId="13" xfId="0" applyFont="1" applyBorder="1" applyAlignment="1">
      <alignment/>
    </xf>
    <xf numFmtId="0" fontId="2" fillId="0" borderId="71" xfId="0" applyFont="1" applyBorder="1" applyAlignment="1">
      <alignment/>
    </xf>
    <xf numFmtId="0" fontId="2" fillId="0" borderId="46" xfId="0" applyFont="1" applyBorder="1" applyAlignment="1">
      <alignment/>
    </xf>
    <xf numFmtId="0" fontId="0" fillId="0" borderId="82" xfId="0" applyBorder="1" applyAlignment="1">
      <alignment/>
    </xf>
    <xf numFmtId="0" fontId="0" fillId="0" borderId="73" xfId="0" applyBorder="1" applyAlignment="1">
      <alignment/>
    </xf>
    <xf numFmtId="0" fontId="0" fillId="0" borderId="0" xfId="0" applyFill="1" applyBorder="1" applyAlignment="1">
      <alignment wrapText="1" shrinkToFit="1"/>
    </xf>
    <xf numFmtId="0" fontId="2" fillId="36" borderId="62" xfId="0" applyFont="1" applyFill="1" applyBorder="1" applyAlignment="1">
      <alignment horizontal="center"/>
    </xf>
    <xf numFmtId="182" fontId="2" fillId="36" borderId="51" xfId="0" applyNumberFormat="1" applyFont="1" applyFill="1" applyBorder="1" applyAlignment="1">
      <alignment/>
    </xf>
    <xf numFmtId="4" fontId="0" fillId="0" borderId="0" xfId="0" applyNumberFormat="1" applyFill="1" applyBorder="1" applyAlignment="1">
      <alignment wrapText="1" shrinkToFit="1"/>
    </xf>
    <xf numFmtId="0" fontId="0" fillId="0" borderId="0" xfId="0" applyFont="1" applyAlignment="1">
      <alignment horizontal="right"/>
    </xf>
    <xf numFmtId="0" fontId="0" fillId="0" borderId="4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82" xfId="0" applyFont="1" applyBorder="1" applyAlignment="1">
      <alignment/>
    </xf>
    <xf numFmtId="0" fontId="0" fillId="0" borderId="41" xfId="0" applyFont="1" applyBorder="1" applyAlignment="1">
      <alignment horizontal="center" vertical="center"/>
    </xf>
    <xf numFmtId="0" fontId="0" fillId="0" borderId="65" xfId="0" applyBorder="1" applyAlignment="1">
      <alignment/>
    </xf>
    <xf numFmtId="0" fontId="0" fillId="0" borderId="2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4" fontId="0" fillId="0" borderId="19" xfId="0" applyNumberFormat="1" applyFill="1" applyBorder="1" applyAlignment="1">
      <alignment/>
    </xf>
    <xf numFmtId="4" fontId="0" fillId="0" borderId="20" xfId="0" applyNumberFormat="1" applyFill="1" applyBorder="1" applyAlignment="1">
      <alignment/>
    </xf>
    <xf numFmtId="4" fontId="2" fillId="34" borderId="25" xfId="0" applyNumberFormat="1" applyFont="1" applyFill="1" applyBorder="1" applyAlignment="1">
      <alignment/>
    </xf>
    <xf numFmtId="0" fontId="11" fillId="0" borderId="0" xfId="0" applyFont="1" applyAlignment="1">
      <alignment/>
    </xf>
    <xf numFmtId="4" fontId="2" fillId="0" borderId="33" xfId="0" applyNumberFormat="1" applyFont="1" applyBorder="1" applyAlignment="1">
      <alignment/>
    </xf>
    <xf numFmtId="4" fontId="0" fillId="0" borderId="52" xfId="0" applyNumberFormat="1" applyFont="1" applyBorder="1" applyAlignment="1">
      <alignment/>
    </xf>
    <xf numFmtId="4" fontId="0" fillId="0" borderId="42" xfId="0" applyNumberFormat="1" applyFont="1" applyBorder="1" applyAlignment="1">
      <alignment/>
    </xf>
    <xf numFmtId="4" fontId="0" fillId="0" borderId="40" xfId="0" applyNumberFormat="1" applyFont="1" applyBorder="1" applyAlignment="1">
      <alignment/>
    </xf>
    <xf numFmtId="4" fontId="0" fillId="0" borderId="51" xfId="0" applyNumberFormat="1" applyFont="1" applyBorder="1" applyAlignment="1">
      <alignment/>
    </xf>
    <xf numFmtId="4" fontId="0" fillId="0" borderId="27" xfId="0" applyNumberFormat="1" applyFont="1" applyBorder="1" applyAlignment="1">
      <alignment/>
    </xf>
    <xf numFmtId="4" fontId="0" fillId="0" borderId="47" xfId="0" applyNumberFormat="1" applyFont="1" applyBorder="1" applyAlignment="1">
      <alignment/>
    </xf>
    <xf numFmtId="0" fontId="33" fillId="0" borderId="56" xfId="0" applyFont="1" applyFill="1" applyBorder="1" applyAlignment="1">
      <alignment/>
    </xf>
    <xf numFmtId="3" fontId="32" fillId="0" borderId="18" xfId="0" applyNumberFormat="1" applyFont="1" applyFill="1" applyBorder="1" applyAlignment="1">
      <alignment/>
    </xf>
    <xf numFmtId="186" fontId="32" fillId="0" borderId="10" xfId="0" applyNumberFormat="1" applyFont="1" applyFill="1" applyBorder="1" applyAlignment="1">
      <alignment/>
    </xf>
    <xf numFmtId="186" fontId="32" fillId="0" borderId="24" xfId="0" applyNumberFormat="1" applyFont="1" applyFill="1" applyBorder="1" applyAlignment="1">
      <alignment/>
    </xf>
    <xf numFmtId="0" fontId="32" fillId="0" borderId="0" xfId="0" applyFont="1" applyFill="1" applyAlignment="1">
      <alignment/>
    </xf>
    <xf numFmtId="0" fontId="2" fillId="0" borderId="10" xfId="0" applyFont="1" applyFill="1" applyBorder="1" applyAlignment="1">
      <alignment/>
    </xf>
    <xf numFmtId="0" fontId="0" fillId="0" borderId="10" xfId="0" applyBorder="1" applyAlignment="1">
      <alignment/>
    </xf>
    <xf numFmtId="0" fontId="2" fillId="0" borderId="10" xfId="0" applyFont="1" applyBorder="1" applyAlignment="1">
      <alignment/>
    </xf>
    <xf numFmtId="0" fontId="0" fillId="0" borderId="22" xfId="0" applyBorder="1" applyAlignment="1">
      <alignment/>
    </xf>
    <xf numFmtId="0" fontId="2" fillId="33" borderId="16" xfId="0" applyFont="1" applyFill="1" applyBorder="1" applyAlignment="1">
      <alignment/>
    </xf>
    <xf numFmtId="0" fontId="2" fillId="33" borderId="17" xfId="0" applyFont="1" applyFill="1" applyBorder="1" applyAlignment="1">
      <alignment/>
    </xf>
    <xf numFmtId="0" fontId="2" fillId="33" borderId="12" xfId="0" applyFont="1" applyFill="1" applyBorder="1" applyAlignment="1">
      <alignment/>
    </xf>
    <xf numFmtId="0" fontId="2" fillId="33" borderId="10" xfId="0" applyFont="1" applyFill="1" applyBorder="1" applyAlignment="1">
      <alignment/>
    </xf>
    <xf numFmtId="0" fontId="2" fillId="0" borderId="0" xfId="0" applyFont="1" applyAlignment="1">
      <alignment/>
    </xf>
    <xf numFmtId="0" fontId="2" fillId="34" borderId="37" xfId="0" applyFont="1" applyFill="1" applyBorder="1" applyAlignment="1">
      <alignment/>
    </xf>
    <xf numFmtId="0" fontId="2" fillId="36" borderId="37" xfId="0" applyFont="1" applyFill="1" applyBorder="1" applyAlignment="1">
      <alignment/>
    </xf>
    <xf numFmtId="0" fontId="2" fillId="35" borderId="37" xfId="0" applyFont="1" applyFill="1" applyBorder="1" applyAlignment="1">
      <alignment/>
    </xf>
    <xf numFmtId="0" fontId="0" fillId="0" borderId="16" xfId="0" applyBorder="1" applyAlignment="1">
      <alignment/>
    </xf>
    <xf numFmtId="0" fontId="0" fillId="0" borderId="17" xfId="0" applyBorder="1" applyAlignment="1">
      <alignment/>
    </xf>
    <xf numFmtId="0" fontId="0" fillId="0" borderId="12" xfId="0" applyBorder="1" applyAlignment="1">
      <alignment/>
    </xf>
    <xf numFmtId="0" fontId="2" fillId="0" borderId="16" xfId="0" applyFont="1" applyBorder="1" applyAlignment="1">
      <alignment/>
    </xf>
    <xf numFmtId="0" fontId="0" fillId="0" borderId="0" xfId="0" applyBorder="1" applyAlignment="1">
      <alignment/>
    </xf>
    <xf numFmtId="0" fontId="0" fillId="0" borderId="0" xfId="0" applyAlignment="1">
      <alignment wrapText="1" shrinkToFit="1"/>
    </xf>
    <xf numFmtId="0" fontId="2" fillId="39" borderId="37" xfId="0" applyFont="1" applyFill="1" applyBorder="1" applyAlignment="1">
      <alignment/>
    </xf>
    <xf numFmtId="0" fontId="2" fillId="34" borderId="34" xfId="0" applyFont="1" applyFill="1" applyBorder="1" applyAlignment="1">
      <alignment horizontal="center"/>
    </xf>
    <xf numFmtId="0" fontId="2" fillId="34" borderId="35" xfId="0" applyFont="1" applyFill="1" applyBorder="1" applyAlignment="1">
      <alignment horizontal="center"/>
    </xf>
    <xf numFmtId="0" fontId="2" fillId="35" borderId="34" xfId="0" applyFont="1" applyFill="1" applyBorder="1" applyAlignment="1">
      <alignment horizontal="center"/>
    </xf>
    <xf numFmtId="0" fontId="2" fillId="35" borderId="35" xfId="0" applyFont="1" applyFill="1" applyBorder="1" applyAlignment="1">
      <alignment horizontal="center"/>
    </xf>
    <xf numFmtId="0" fontId="2" fillId="35" borderId="53" xfId="0" applyFont="1" applyFill="1" applyBorder="1" applyAlignment="1">
      <alignment horizontal="center"/>
    </xf>
    <xf numFmtId="0" fontId="2" fillId="36" borderId="35" xfId="0" applyFont="1" applyFill="1" applyBorder="1" applyAlignment="1">
      <alignment horizontal="center"/>
    </xf>
    <xf numFmtId="0" fontId="2" fillId="36" borderId="53" xfId="0" applyFont="1" applyFill="1" applyBorder="1" applyAlignment="1">
      <alignment horizontal="center"/>
    </xf>
    <xf numFmtId="0" fontId="0" fillId="0" borderId="62" xfId="0" applyBorder="1" applyAlignment="1">
      <alignment/>
    </xf>
    <xf numFmtId="0" fontId="0" fillId="0" borderId="56" xfId="0" applyBorder="1" applyAlignment="1">
      <alignment/>
    </xf>
    <xf numFmtId="0" fontId="2" fillId="36" borderId="33" xfId="0" applyFont="1" applyFill="1" applyBorder="1" applyAlignment="1">
      <alignment horizontal="center"/>
    </xf>
    <xf numFmtId="0" fontId="0" fillId="0" borderId="39" xfId="0" applyBorder="1" applyAlignment="1">
      <alignment/>
    </xf>
    <xf numFmtId="0" fontId="0" fillId="0" borderId="38" xfId="0" applyBorder="1" applyAlignment="1">
      <alignment/>
    </xf>
    <xf numFmtId="0" fontId="0" fillId="0" borderId="37" xfId="0" applyBorder="1" applyAlignment="1">
      <alignment/>
    </xf>
    <xf numFmtId="0" fontId="0" fillId="0" borderId="0" xfId="0" applyFont="1" applyAlignment="1">
      <alignment/>
    </xf>
    <xf numFmtId="0" fontId="2" fillId="0" borderId="0" xfId="0" applyFont="1" applyBorder="1" applyAlignment="1">
      <alignment/>
    </xf>
    <xf numFmtId="0" fontId="2" fillId="34" borderId="33" xfId="0" applyFont="1" applyFill="1" applyBorder="1" applyAlignment="1">
      <alignment horizontal="center"/>
    </xf>
    <xf numFmtId="0" fontId="2" fillId="35" borderId="33" xfId="0" applyFont="1" applyFill="1" applyBorder="1" applyAlignment="1">
      <alignment horizontal="center"/>
    </xf>
    <xf numFmtId="0" fontId="2" fillId="0" borderId="26" xfId="0" applyFont="1" applyBorder="1" applyAlignment="1">
      <alignment wrapText="1" shrinkToFit="1"/>
    </xf>
    <xf numFmtId="0" fontId="2" fillId="0" borderId="27" xfId="0" applyFont="1" applyBorder="1" applyAlignment="1">
      <alignment wrapText="1" shrinkToFit="1"/>
    </xf>
    <xf numFmtId="0" fontId="2" fillId="0" borderId="40" xfId="0" applyFont="1" applyBorder="1" applyAlignment="1">
      <alignment wrapText="1" shrinkToFit="1"/>
    </xf>
    <xf numFmtId="0" fontId="2" fillId="0" borderId="47" xfId="0" applyFont="1" applyBorder="1" applyAlignment="1">
      <alignment wrapText="1" shrinkToFit="1"/>
    </xf>
    <xf numFmtId="0" fontId="0" fillId="0" borderId="34" xfId="0" applyBorder="1" applyAlignment="1">
      <alignment wrapText="1" shrinkToFit="1"/>
    </xf>
    <xf numFmtId="0" fontId="0" fillId="0" borderId="53" xfId="0" applyBorder="1" applyAlignment="1">
      <alignment wrapText="1" shrinkToFit="1"/>
    </xf>
    <xf numFmtId="0" fontId="2" fillId="0" borderId="82" xfId="0" applyFont="1" applyBorder="1" applyAlignment="1">
      <alignment wrapText="1" shrinkToFit="1"/>
    </xf>
    <xf numFmtId="0" fontId="2" fillId="0" borderId="73" xfId="0" applyFont="1" applyBorder="1" applyAlignment="1">
      <alignment wrapText="1" shrinkToFit="1"/>
    </xf>
    <xf numFmtId="0" fontId="0" fillId="0" borderId="71" xfId="0" applyFont="1" applyBorder="1" applyAlignment="1">
      <alignment wrapText="1" shrinkToFit="1"/>
    </xf>
    <xf numFmtId="0" fontId="0" fillId="0" borderId="46" xfId="0" applyFont="1" applyBorder="1" applyAlignment="1">
      <alignment wrapText="1" shrinkToFit="1"/>
    </xf>
    <xf numFmtId="0" fontId="2" fillId="0" borderId="34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 wrapText="1" shrinkToFit="1"/>
    </xf>
    <xf numFmtId="0" fontId="0" fillId="0" borderId="72" xfId="0" applyFont="1" applyFill="1" applyBorder="1" applyAlignment="1">
      <alignment horizontal="left" wrapText="1" shrinkToFit="1"/>
    </xf>
    <xf numFmtId="0" fontId="0" fillId="0" borderId="39" xfId="0" applyFont="1" applyFill="1" applyBorder="1" applyAlignment="1">
      <alignment horizontal="left" wrapText="1" shrinkToFit="1"/>
    </xf>
    <xf numFmtId="0" fontId="0" fillId="0" borderId="0" xfId="0" applyFont="1" applyFill="1" applyBorder="1" applyAlignment="1">
      <alignment horizontal="left" wrapText="1" shrinkToFit="1"/>
    </xf>
    <xf numFmtId="0" fontId="0" fillId="0" borderId="40" xfId="0" applyFont="1" applyFill="1" applyBorder="1" applyAlignment="1">
      <alignment horizontal="left" wrapText="1" shrinkToFit="1"/>
    </xf>
    <xf numFmtId="0" fontId="0" fillId="0" borderId="42" xfId="0" applyFont="1" applyFill="1" applyBorder="1" applyAlignment="1">
      <alignment horizontal="left" wrapText="1" shrinkToFit="1"/>
    </xf>
    <xf numFmtId="0" fontId="0" fillId="0" borderId="27" xfId="0" applyFont="1" applyFill="1" applyBorder="1" applyAlignment="1">
      <alignment horizontal="left" wrapText="1" shrinkToFit="1"/>
    </xf>
    <xf numFmtId="0" fontId="0" fillId="0" borderId="45" xfId="0" applyFont="1" applyFill="1" applyBorder="1" applyAlignment="1">
      <alignment horizontal="left" wrapText="1" shrinkToFit="1"/>
    </xf>
    <xf numFmtId="0" fontId="0" fillId="0" borderId="47" xfId="0" applyFont="1" applyFill="1" applyBorder="1" applyAlignment="1">
      <alignment horizontal="left" wrapText="1" shrinkToFit="1"/>
    </xf>
    <xf numFmtId="0" fontId="2" fillId="0" borderId="32" xfId="0" applyFont="1" applyBorder="1" applyAlignment="1">
      <alignment/>
    </xf>
    <xf numFmtId="0" fontId="2" fillId="0" borderId="73" xfId="0" applyFont="1" applyBorder="1" applyAlignment="1">
      <alignment/>
    </xf>
    <xf numFmtId="0" fontId="0" fillId="0" borderId="54" xfId="0" applyBorder="1" applyAlignment="1">
      <alignment/>
    </xf>
    <xf numFmtId="0" fontId="0" fillId="0" borderId="55" xfId="0" applyBorder="1" applyAlignment="1">
      <alignment/>
    </xf>
    <xf numFmtId="0" fontId="0" fillId="0" borderId="48" xfId="0" applyBorder="1" applyAlignment="1">
      <alignment wrapText="1" shrinkToFit="1"/>
    </xf>
    <xf numFmtId="0" fontId="0" fillId="0" borderId="41" xfId="0" applyBorder="1" applyAlignment="1">
      <alignment wrapText="1" shrinkToFit="1"/>
    </xf>
    <xf numFmtId="1" fontId="2" fillId="36" borderId="72" xfId="0" applyNumberFormat="1" applyFont="1" applyFill="1" applyBorder="1" applyAlignment="1">
      <alignment horizontal="center"/>
    </xf>
    <xf numFmtId="1" fontId="2" fillId="36" borderId="27" xfId="0" applyNumberFormat="1" applyFont="1" applyFill="1" applyBorder="1" applyAlignment="1">
      <alignment horizontal="center"/>
    </xf>
    <xf numFmtId="0" fontId="0" fillId="0" borderId="51" xfId="0" applyBorder="1" applyAlignment="1">
      <alignment wrapText="1" shrinkToFit="1"/>
    </xf>
    <xf numFmtId="0" fontId="0" fillId="0" borderId="52" xfId="0" applyBorder="1" applyAlignment="1">
      <alignment wrapText="1" shrinkToFit="1"/>
    </xf>
    <xf numFmtId="0" fontId="0" fillId="0" borderId="27" xfId="0" applyBorder="1" applyAlignment="1">
      <alignment wrapText="1" shrinkToFit="1"/>
    </xf>
    <xf numFmtId="0" fontId="0" fillId="0" borderId="47" xfId="0" applyBorder="1" applyAlignment="1">
      <alignment wrapText="1" shrinkToFit="1"/>
    </xf>
    <xf numFmtId="0" fontId="0" fillId="0" borderId="59" xfId="0" applyBorder="1" applyAlignment="1">
      <alignment wrapText="1" shrinkToFit="1"/>
    </xf>
    <xf numFmtId="0" fontId="0" fillId="0" borderId="43" xfId="0" applyBorder="1" applyAlignment="1">
      <alignment wrapText="1" shrinkToFit="1"/>
    </xf>
    <xf numFmtId="1" fontId="2" fillId="35" borderId="72" xfId="0" applyNumberFormat="1" applyFont="1" applyFill="1" applyBorder="1" applyAlignment="1">
      <alignment horizontal="center"/>
    </xf>
    <xf numFmtId="1" fontId="2" fillId="35" borderId="27" xfId="0" applyNumberFormat="1" applyFont="1" applyFill="1" applyBorder="1" applyAlignment="1">
      <alignment horizontal="center"/>
    </xf>
    <xf numFmtId="1" fontId="2" fillId="34" borderId="72" xfId="0" applyNumberFormat="1" applyFont="1" applyFill="1" applyBorder="1" applyAlignment="1">
      <alignment horizontal="center"/>
    </xf>
    <xf numFmtId="1" fontId="2" fillId="34" borderId="27" xfId="0" applyNumberFormat="1" applyFont="1" applyFill="1" applyBorder="1" applyAlignment="1">
      <alignment horizontal="center"/>
    </xf>
    <xf numFmtId="0" fontId="2" fillId="36" borderId="34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horizontal="center" vertical="center" wrapText="1" shrinkToFit="1"/>
    </xf>
    <xf numFmtId="0" fontId="0" fillId="0" borderId="8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wrapText="1" shrinkToFit="1"/>
    </xf>
    <xf numFmtId="0" fontId="2" fillId="34" borderId="5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4" xfId="0" applyFont="1" applyBorder="1" applyAlignment="1">
      <alignment/>
    </xf>
    <xf numFmtId="0" fontId="2" fillId="0" borderId="35" xfId="0" applyFont="1" applyBorder="1" applyAlignment="1">
      <alignment/>
    </xf>
    <xf numFmtId="0" fontId="0" fillId="0" borderId="26" xfId="0" applyBorder="1" applyAlignment="1">
      <alignment/>
    </xf>
    <xf numFmtId="0" fontId="0" fillId="0" borderId="72" xfId="0" applyBorder="1" applyAlignment="1">
      <alignment/>
    </xf>
    <xf numFmtId="0" fontId="0" fillId="0" borderId="34" xfId="0" applyBorder="1" applyAlignment="1">
      <alignment/>
    </xf>
    <xf numFmtId="0" fontId="0" fillId="0" borderId="35" xfId="0" applyBorder="1" applyAlignment="1">
      <alignment/>
    </xf>
    <xf numFmtId="0" fontId="0" fillId="0" borderId="78" xfId="0" applyBorder="1" applyAlignment="1">
      <alignment/>
    </xf>
    <xf numFmtId="0" fontId="0" fillId="0" borderId="13" xfId="0" applyBorder="1" applyAlignment="1">
      <alignment/>
    </xf>
    <xf numFmtId="3" fontId="0" fillId="0" borderId="74" xfId="0" applyNumberFormat="1" applyBorder="1" applyAlignment="1">
      <alignment horizontal="right" vertical="center"/>
    </xf>
    <xf numFmtId="3" fontId="0" fillId="0" borderId="55" xfId="0" applyNumberFormat="1" applyBorder="1" applyAlignment="1">
      <alignment horizontal="right" vertical="center"/>
    </xf>
    <xf numFmtId="182" fontId="0" fillId="0" borderId="59" xfId="0" applyNumberFormat="1" applyBorder="1" applyAlignment="1">
      <alignment horizontal="right" vertical="center"/>
    </xf>
    <xf numFmtId="182" fontId="0" fillId="0" borderId="75" xfId="0" applyNumberFormat="1" applyBorder="1" applyAlignment="1">
      <alignment horizontal="right" vertical="center"/>
    </xf>
    <xf numFmtId="182" fontId="0" fillId="0" borderId="43" xfId="0" applyNumberFormat="1" applyBorder="1" applyAlignment="1">
      <alignment horizontal="right" vertical="center"/>
    </xf>
    <xf numFmtId="182" fontId="0" fillId="0" borderId="74" xfId="0" applyNumberFormat="1" applyBorder="1" applyAlignment="1">
      <alignment horizontal="right" vertical="center"/>
    </xf>
    <xf numFmtId="182" fontId="0" fillId="0" borderId="55" xfId="0" applyNumberFormat="1" applyBorder="1" applyAlignment="1">
      <alignment horizontal="right" vertical="center"/>
    </xf>
    <xf numFmtId="0" fontId="2" fillId="34" borderId="82" xfId="0" applyFont="1" applyFill="1" applyBorder="1" applyAlignment="1">
      <alignment horizontal="center"/>
    </xf>
    <xf numFmtId="0" fontId="2" fillId="34" borderId="73" xfId="0" applyFont="1" applyFill="1" applyBorder="1" applyAlignment="1">
      <alignment horizontal="center"/>
    </xf>
    <xf numFmtId="0" fontId="0" fillId="0" borderId="59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3" fontId="0" fillId="0" borderId="54" xfId="0" applyNumberFormat="1" applyBorder="1" applyAlignment="1">
      <alignment horizontal="right" vertical="center"/>
    </xf>
    <xf numFmtId="182" fontId="0" fillId="0" borderId="65" xfId="0" applyNumberForma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48" xfId="0" applyFont="1" applyBorder="1" applyAlignment="1">
      <alignment vertical="center" wrapText="1" shrinkToFit="1"/>
    </xf>
    <xf numFmtId="0" fontId="2" fillId="0" borderId="41" xfId="0" applyFont="1" applyBorder="1" applyAlignment="1">
      <alignment vertical="center" wrapText="1" shrinkToFit="1"/>
    </xf>
    <xf numFmtId="0" fontId="0" fillId="0" borderId="48" xfId="0" applyBorder="1" applyAlignment="1">
      <alignment vertical="center" wrapText="1" shrinkToFit="1"/>
    </xf>
    <xf numFmtId="0" fontId="0" fillId="0" borderId="41" xfId="0" applyBorder="1" applyAlignment="1">
      <alignment vertical="center" wrapText="1" shrinkToFit="1"/>
    </xf>
    <xf numFmtId="182" fontId="0" fillId="0" borderId="54" xfId="0" applyNumberFormat="1" applyBorder="1" applyAlignment="1">
      <alignment horizontal="right" vertical="center"/>
    </xf>
    <xf numFmtId="185" fontId="0" fillId="0" borderId="23" xfId="0" applyNumberFormat="1" applyBorder="1" applyAlignment="1">
      <alignment horizontal="right" vertical="center"/>
    </xf>
    <xf numFmtId="185" fontId="0" fillId="0" borderId="80" xfId="0" applyNumberForma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0" fontId="2" fillId="35" borderId="32" xfId="0" applyFont="1" applyFill="1" applyBorder="1" applyAlignment="1">
      <alignment horizontal="center"/>
    </xf>
    <xf numFmtId="0" fontId="2" fillId="36" borderId="82" xfId="0" applyFont="1" applyFill="1" applyBorder="1" applyAlignment="1">
      <alignment horizontal="center"/>
    </xf>
    <xf numFmtId="0" fontId="2" fillId="36" borderId="73" xfId="0" applyFont="1" applyFill="1" applyBorder="1" applyAlignment="1">
      <alignment horizontal="center"/>
    </xf>
    <xf numFmtId="3" fontId="0" fillId="0" borderId="83" xfId="0" applyNumberFormat="1" applyBorder="1" applyAlignment="1">
      <alignment horizontal="right" vertical="center"/>
    </xf>
    <xf numFmtId="182" fontId="0" fillId="0" borderId="84" xfId="0" applyNumberFormat="1" applyBorder="1" applyAlignment="1">
      <alignment horizontal="right" vertical="center"/>
    </xf>
    <xf numFmtId="3" fontId="0" fillId="0" borderId="63" xfId="0" applyNumberFormat="1" applyBorder="1" applyAlignment="1">
      <alignment horizontal="right" vertical="center"/>
    </xf>
    <xf numFmtId="182" fontId="0" fillId="0" borderId="85" xfId="0" applyNumberFormat="1" applyBorder="1" applyAlignment="1">
      <alignment/>
    </xf>
    <xf numFmtId="182" fontId="0" fillId="0" borderId="72" xfId="0" applyNumberFormat="1" applyBorder="1" applyAlignment="1">
      <alignment/>
    </xf>
    <xf numFmtId="182" fontId="0" fillId="0" borderId="86" xfId="0" applyNumberFormat="1" applyBorder="1" applyAlignment="1">
      <alignment/>
    </xf>
    <xf numFmtId="0" fontId="0" fillId="0" borderId="31" xfId="0" applyBorder="1" applyAlignment="1">
      <alignment/>
    </xf>
    <xf numFmtId="0" fontId="0" fillId="0" borderId="87" xfId="0" applyBorder="1" applyAlignment="1">
      <alignment/>
    </xf>
    <xf numFmtId="0" fontId="0" fillId="0" borderId="30" xfId="0" applyBorder="1" applyAlignment="1">
      <alignment/>
    </xf>
    <xf numFmtId="182" fontId="0" fillId="0" borderId="63" xfId="0" applyNumberFormat="1" applyBorder="1" applyAlignment="1">
      <alignment horizontal="right" vertical="center"/>
    </xf>
    <xf numFmtId="182" fontId="0" fillId="0" borderId="19" xfId="0" applyNumberFormat="1" applyBorder="1" applyAlignment="1">
      <alignment horizontal="right" vertical="center"/>
    </xf>
    <xf numFmtId="185" fontId="0" fillId="0" borderId="21" xfId="0" applyNumberForma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60" xfId="0" applyBorder="1" applyAlignment="1">
      <alignment/>
    </xf>
    <xf numFmtId="0" fontId="0" fillId="0" borderId="61" xfId="0" applyBorder="1" applyAlignment="1">
      <alignment/>
    </xf>
    <xf numFmtId="0" fontId="0" fillId="0" borderId="18" xfId="0" applyBorder="1" applyAlignment="1">
      <alignment wrapText="1" shrinkToFit="1"/>
    </xf>
    <xf numFmtId="0" fontId="0" fillId="0" borderId="10" xfId="0" applyBorder="1" applyAlignment="1">
      <alignment wrapText="1" shrinkToFit="1"/>
    </xf>
    <xf numFmtId="0" fontId="0" fillId="0" borderId="19" xfId="0" applyBorder="1" applyAlignment="1">
      <alignment wrapText="1" shrinkToFit="1"/>
    </xf>
    <xf numFmtId="0" fontId="0" fillId="0" borderId="20" xfId="0" applyBorder="1" applyAlignment="1">
      <alignment wrapText="1" shrinkToFit="1"/>
    </xf>
    <xf numFmtId="0" fontId="0" fillId="0" borderId="21" xfId="0" applyBorder="1" applyAlignment="1">
      <alignment/>
    </xf>
    <xf numFmtId="0" fontId="0" fillId="0" borderId="54" xfId="0" applyBorder="1" applyAlignment="1">
      <alignment wrapText="1" shrinkToFit="1"/>
    </xf>
    <xf numFmtId="0" fontId="0" fillId="0" borderId="74" xfId="0" applyBorder="1" applyAlignment="1">
      <alignment wrapText="1" shrinkToFit="1"/>
    </xf>
    <xf numFmtId="0" fontId="0" fillId="0" borderId="44" xfId="0" applyBorder="1" applyAlignment="1">
      <alignment wrapText="1" shrinkToFit="1"/>
    </xf>
    <xf numFmtId="0" fontId="0" fillId="0" borderId="55" xfId="0" applyBorder="1" applyAlignment="1">
      <alignment wrapText="1" shrinkToFit="1"/>
    </xf>
    <xf numFmtId="0" fontId="2" fillId="36" borderId="63" xfId="0" applyFont="1" applyFill="1" applyBorder="1" applyAlignment="1">
      <alignment horizontal="center"/>
    </xf>
    <xf numFmtId="0" fontId="2" fillId="36" borderId="64" xfId="0" applyFont="1" applyFill="1" applyBorder="1" applyAlignment="1">
      <alignment horizontal="center"/>
    </xf>
    <xf numFmtId="0" fontId="2" fillId="36" borderId="65" xfId="0" applyFont="1" applyFill="1" applyBorder="1" applyAlignment="1">
      <alignment horizontal="center"/>
    </xf>
    <xf numFmtId="0" fontId="0" fillId="0" borderId="21" xfId="0" applyFill="1" applyBorder="1" applyAlignment="1">
      <alignment wrapText="1" shrinkToFit="1"/>
    </xf>
    <xf numFmtId="0" fontId="0" fillId="0" borderId="80" xfId="0" applyFill="1" applyBorder="1" applyAlignment="1">
      <alignment wrapText="1" shrinkToFit="1"/>
    </xf>
    <xf numFmtId="0" fontId="0" fillId="0" borderId="18" xfId="0" applyFill="1" applyBorder="1" applyAlignment="1">
      <alignment wrapText="1" shrinkToFit="1"/>
    </xf>
    <xf numFmtId="0" fontId="0" fillId="0" borderId="16" xfId="0" applyFill="1" applyBorder="1" applyAlignment="1">
      <alignment wrapText="1" shrinkToFit="1"/>
    </xf>
    <xf numFmtId="4" fontId="0" fillId="0" borderId="76" xfId="0" applyNumberFormat="1" applyFill="1" applyBorder="1" applyAlignment="1">
      <alignment wrapText="1" shrinkToFit="1"/>
    </xf>
    <xf numFmtId="4" fontId="0" fillId="0" borderId="68" xfId="0" applyNumberFormat="1" applyFill="1" applyBorder="1" applyAlignment="1">
      <alignment wrapText="1" shrinkToFit="1"/>
    </xf>
    <xf numFmtId="4" fontId="0" fillId="0" borderId="74" xfId="0" applyNumberFormat="1" applyFill="1" applyBorder="1" applyAlignment="1">
      <alignment wrapText="1" shrinkToFit="1"/>
    </xf>
    <xf numFmtId="4" fontId="0" fillId="0" borderId="14" xfId="0" applyNumberFormat="1" applyFill="1" applyBorder="1" applyAlignment="1">
      <alignment wrapText="1" shrinkToFit="1"/>
    </xf>
    <xf numFmtId="4" fontId="0" fillId="0" borderId="21" xfId="0" applyNumberFormat="1" applyFill="1" applyBorder="1" applyAlignment="1">
      <alignment wrapText="1" shrinkToFit="1"/>
    </xf>
    <xf numFmtId="4" fontId="0" fillId="0" borderId="80" xfId="0" applyNumberFormat="1" applyFill="1" applyBorder="1" applyAlignment="1">
      <alignment wrapText="1" shrinkToFit="1"/>
    </xf>
    <xf numFmtId="4" fontId="0" fillId="0" borderId="18" xfId="0" applyNumberFormat="1" applyFill="1" applyBorder="1" applyAlignment="1">
      <alignment wrapText="1" shrinkToFit="1"/>
    </xf>
    <xf numFmtId="4" fontId="0" fillId="0" borderId="16" xfId="0" applyNumberFormat="1" applyFill="1" applyBorder="1" applyAlignment="1">
      <alignment wrapText="1" shrinkToFit="1"/>
    </xf>
    <xf numFmtId="0" fontId="2" fillId="34" borderId="63" xfId="0" applyFont="1" applyFill="1" applyBorder="1" applyAlignment="1">
      <alignment horizontal="center"/>
    </xf>
    <xf numFmtId="0" fontId="2" fillId="34" borderId="64" xfId="0" applyFont="1" applyFill="1" applyBorder="1" applyAlignment="1">
      <alignment horizontal="center"/>
    </xf>
    <xf numFmtId="0" fontId="2" fillId="34" borderId="65" xfId="0" applyFont="1" applyFill="1" applyBorder="1" applyAlignment="1">
      <alignment horizontal="center"/>
    </xf>
    <xf numFmtId="4" fontId="2" fillId="0" borderId="78" xfId="0" applyNumberFormat="1" applyFont="1" applyFill="1" applyBorder="1" applyAlignment="1">
      <alignment wrapText="1" shrinkToFit="1"/>
    </xf>
    <xf numFmtId="4" fontId="2" fillId="0" borderId="69" xfId="0" applyNumberFormat="1" applyFont="1" applyFill="1" applyBorder="1" applyAlignment="1">
      <alignment wrapText="1" shrinkToFit="1"/>
    </xf>
    <xf numFmtId="4" fontId="2" fillId="0" borderId="39" xfId="0" applyNumberFormat="1" applyFont="1" applyFill="1" applyBorder="1" applyAlignment="1">
      <alignment wrapText="1" shrinkToFit="1"/>
    </xf>
    <xf numFmtId="4" fontId="2" fillId="0" borderId="45" xfId="0" applyNumberFormat="1" applyFont="1" applyFill="1" applyBorder="1" applyAlignment="1">
      <alignment wrapText="1" shrinkToFit="1"/>
    </xf>
    <xf numFmtId="4" fontId="2" fillId="0" borderId="40" xfId="0" applyNumberFormat="1" applyFont="1" applyFill="1" applyBorder="1" applyAlignment="1">
      <alignment wrapText="1" shrinkToFit="1"/>
    </xf>
    <xf numFmtId="4" fontId="2" fillId="0" borderId="47" xfId="0" applyNumberFormat="1" applyFont="1" applyFill="1" applyBorder="1" applyAlignment="1">
      <alignment wrapText="1" shrinkToFit="1"/>
    </xf>
    <xf numFmtId="0" fontId="2" fillId="0" borderId="78" xfId="0" applyFont="1" applyFill="1" applyBorder="1" applyAlignment="1">
      <alignment wrapText="1" shrinkToFit="1"/>
    </xf>
    <xf numFmtId="0" fontId="2" fillId="0" borderId="69" xfId="0" applyFont="1" applyFill="1" applyBorder="1" applyAlignment="1">
      <alignment wrapText="1" shrinkToFit="1"/>
    </xf>
    <xf numFmtId="0" fontId="2" fillId="0" borderId="39" xfId="0" applyFont="1" applyFill="1" applyBorder="1" applyAlignment="1">
      <alignment wrapText="1" shrinkToFit="1"/>
    </xf>
    <xf numFmtId="0" fontId="2" fillId="0" borderId="45" xfId="0" applyFont="1" applyFill="1" applyBorder="1" applyAlignment="1">
      <alignment wrapText="1" shrinkToFit="1"/>
    </xf>
    <xf numFmtId="0" fontId="2" fillId="0" borderId="40" xfId="0" applyFont="1" applyFill="1" applyBorder="1" applyAlignment="1">
      <alignment wrapText="1" shrinkToFit="1"/>
    </xf>
    <xf numFmtId="0" fontId="2" fillId="0" borderId="47" xfId="0" applyFont="1" applyFill="1" applyBorder="1" applyAlignment="1">
      <alignment wrapText="1" shrinkToFit="1"/>
    </xf>
    <xf numFmtId="0" fontId="2" fillId="0" borderId="13" xfId="0" applyFont="1" applyFill="1" applyBorder="1" applyAlignment="1">
      <alignment wrapText="1" shrinkToFit="1"/>
    </xf>
    <xf numFmtId="0" fontId="2" fillId="0" borderId="0" xfId="0" applyFont="1" applyFill="1" applyBorder="1" applyAlignment="1">
      <alignment wrapText="1" shrinkToFit="1"/>
    </xf>
    <xf numFmtId="0" fontId="2" fillId="0" borderId="42" xfId="0" applyFont="1" applyFill="1" applyBorder="1" applyAlignment="1">
      <alignment wrapText="1" shrinkToFit="1"/>
    </xf>
    <xf numFmtId="0" fontId="2" fillId="35" borderId="63" xfId="0" applyFont="1" applyFill="1" applyBorder="1" applyAlignment="1">
      <alignment horizontal="center"/>
    </xf>
    <xf numFmtId="0" fontId="2" fillId="35" borderId="64" xfId="0" applyFont="1" applyFill="1" applyBorder="1" applyAlignment="1">
      <alignment horizontal="center"/>
    </xf>
    <xf numFmtId="0" fontId="2" fillId="35" borderId="65" xfId="0" applyFont="1" applyFill="1" applyBorder="1" applyAlignment="1">
      <alignment horizontal="center"/>
    </xf>
    <xf numFmtId="0" fontId="0" fillId="0" borderId="26" xfId="0" applyBorder="1" applyAlignment="1">
      <alignment wrapText="1" shrinkToFit="1"/>
    </xf>
    <xf numFmtId="0" fontId="0" fillId="0" borderId="40" xfId="0" applyBorder="1" applyAlignment="1">
      <alignment wrapText="1" shrinkToFit="1"/>
    </xf>
    <xf numFmtId="0" fontId="0" fillId="0" borderId="62" xfId="0" applyBorder="1" applyAlignment="1">
      <alignment wrapText="1" shrinkToFit="1"/>
    </xf>
    <xf numFmtId="0" fontId="0" fillId="0" borderId="56" xfId="0" applyBorder="1" applyAlignment="1">
      <alignment wrapText="1" shrinkToFit="1"/>
    </xf>
    <xf numFmtId="0" fontId="0" fillId="0" borderId="37" xfId="0" applyBorder="1" applyAlignment="1">
      <alignment wrapText="1" shrinkToFit="1"/>
    </xf>
    <xf numFmtId="0" fontId="0" fillId="0" borderId="17" xfId="0" applyBorder="1" applyAlignment="1">
      <alignment wrapText="1" shrinkToFit="1"/>
    </xf>
    <xf numFmtId="0" fontId="0" fillId="0" borderId="22" xfId="0" applyBorder="1" applyAlignment="1">
      <alignment wrapText="1" shrinkToFit="1"/>
    </xf>
    <xf numFmtId="0" fontId="0" fillId="0" borderId="80" xfId="0" applyBorder="1" applyAlignment="1">
      <alignment/>
    </xf>
    <xf numFmtId="0" fontId="0" fillId="0" borderId="11" xfId="0" applyBorder="1" applyAlignment="1">
      <alignment/>
    </xf>
    <xf numFmtId="0" fontId="0" fillId="0" borderId="49" xfId="0" applyBorder="1" applyAlignment="1">
      <alignment wrapText="1" shrinkToFit="1"/>
    </xf>
    <xf numFmtId="0" fontId="0" fillId="0" borderId="80" xfId="0" applyBorder="1" applyAlignment="1">
      <alignment wrapText="1" shrinkToFit="1"/>
    </xf>
    <xf numFmtId="0" fontId="0" fillId="0" borderId="16" xfId="0" applyBorder="1" applyAlignment="1">
      <alignment wrapText="1" shrinkToFit="1"/>
    </xf>
    <xf numFmtId="0" fontId="0" fillId="0" borderId="73" xfId="0" applyBorder="1" applyAlignment="1">
      <alignment wrapText="1" shrinkToFit="1"/>
    </xf>
    <xf numFmtId="0" fontId="0" fillId="0" borderId="46" xfId="0" applyBorder="1" applyAlignment="1">
      <alignment wrapText="1" shrinkToFit="1"/>
    </xf>
    <xf numFmtId="0" fontId="0" fillId="0" borderId="73" xfId="0" applyBorder="1" applyAlignment="1">
      <alignment/>
    </xf>
    <xf numFmtId="0" fontId="0" fillId="0" borderId="46" xfId="0" applyBorder="1" applyAlignment="1">
      <alignment/>
    </xf>
    <xf numFmtId="0" fontId="0" fillId="0" borderId="39" xfId="0" applyFont="1" applyBorder="1" applyAlignment="1">
      <alignment wrapText="1" shrinkToFit="1"/>
    </xf>
    <xf numFmtId="0" fontId="0" fillId="0" borderId="0" xfId="0" applyBorder="1" applyAlignment="1">
      <alignment wrapText="1" shrinkToFit="1"/>
    </xf>
    <xf numFmtId="0" fontId="0" fillId="0" borderId="42" xfId="0" applyBorder="1" applyAlignment="1">
      <alignment wrapText="1" shrinkToFit="1"/>
    </xf>
    <xf numFmtId="0" fontId="0" fillId="0" borderId="39" xfId="0" applyBorder="1" applyAlignment="1">
      <alignment wrapText="1" shrinkToFit="1"/>
    </xf>
    <xf numFmtId="0" fontId="2" fillId="0" borderId="72" xfId="0" applyFont="1" applyBorder="1" applyAlignment="1">
      <alignment wrapText="1" shrinkToFit="1"/>
    </xf>
    <xf numFmtId="0" fontId="2" fillId="0" borderId="39" xfId="0" applyFont="1" applyBorder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2" fillId="0" borderId="42" xfId="0" applyFont="1" applyBorder="1" applyAlignment="1">
      <alignment wrapText="1" shrinkToFit="1"/>
    </xf>
    <xf numFmtId="0" fontId="0" fillId="0" borderId="34" xfId="0" applyFont="1" applyBorder="1" applyAlignment="1">
      <alignment wrapText="1" shrinkToFit="1"/>
    </xf>
    <xf numFmtId="0" fontId="0" fillId="0" borderId="35" xfId="0" applyBorder="1" applyAlignment="1">
      <alignment wrapText="1" shrinkToFit="1"/>
    </xf>
    <xf numFmtId="0" fontId="0" fillId="0" borderId="0" xfId="0" applyFont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51" xfId="0" applyBorder="1" applyAlignment="1">
      <alignment/>
    </xf>
    <xf numFmtId="0" fontId="0" fillId="0" borderId="50" xfId="0" applyBorder="1" applyAlignment="1">
      <alignment/>
    </xf>
    <xf numFmtId="0" fontId="0" fillId="0" borderId="52" xfId="0" applyBorder="1" applyAlignment="1">
      <alignment/>
    </xf>
    <xf numFmtId="0" fontId="2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3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36" borderId="52" xfId="0" applyFont="1" applyFill="1" applyBorder="1" applyAlignment="1">
      <alignment horizontal="center"/>
    </xf>
    <xf numFmtId="0" fontId="2" fillId="34" borderId="40" xfId="0" applyFont="1" applyFill="1" applyBorder="1" applyAlignment="1">
      <alignment horizontal="center"/>
    </xf>
    <xf numFmtId="0" fontId="2" fillId="34" borderId="42" xfId="0" applyFont="1" applyFill="1" applyBorder="1" applyAlignment="1">
      <alignment horizontal="center"/>
    </xf>
    <xf numFmtId="0" fontId="2" fillId="34" borderId="47" xfId="0" applyFont="1" applyFill="1" applyBorder="1" applyAlignment="1">
      <alignment horizontal="center"/>
    </xf>
    <xf numFmtId="0" fontId="2" fillId="35" borderId="52" xfId="0" applyFont="1" applyFill="1" applyBorder="1" applyAlignment="1">
      <alignment horizontal="center"/>
    </xf>
    <xf numFmtId="0" fontId="2" fillId="38" borderId="40" xfId="0" applyFont="1" applyFill="1" applyBorder="1" applyAlignment="1">
      <alignment horizontal="center"/>
    </xf>
    <xf numFmtId="0" fontId="2" fillId="38" borderId="42" xfId="0" applyFont="1" applyFill="1" applyBorder="1" applyAlignment="1">
      <alignment horizontal="center"/>
    </xf>
    <xf numFmtId="0" fontId="2" fillId="38" borderId="47" xfId="0" applyFont="1" applyFill="1" applyBorder="1" applyAlignment="1">
      <alignment horizontal="center"/>
    </xf>
  </cellXfs>
  <cellStyles count="50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normálne 2" xfId="45"/>
    <cellStyle name="Percent" xfId="46" builtinId="5"/>
    <cellStyle name="Followed Hyperlink" xfId="47" builtinId="9"/>
    <cellStyle name="Poznámka" xfId="48"/>
    <cellStyle name="Prepojená bunka" xfId="49"/>
    <cellStyle name="Spolu" xfId="50"/>
    <cellStyle name="Text upozornenia" xfId="51"/>
    <cellStyle name="Titul" xfId="52"/>
    <cellStyle name="Vstup" xfId="53"/>
    <cellStyle name="Výpočet" xfId="54"/>
    <cellStyle name="Výstup" xfId="55"/>
    <cellStyle name="Vysvetľujúci text" xfId="56"/>
    <cellStyle name="Zlá" xfId="57"/>
    <cellStyle name="Zvýraznenie1" xfId="58"/>
    <cellStyle name="Zvýraznenie2" xfId="59"/>
    <cellStyle name="Zvýraznenie3" xfId="60"/>
    <cellStyle name="Zvýraznenie4" xfId="61"/>
    <cellStyle name="Zvýraznenie5" xfId="62"/>
    <cellStyle name="Zvýraznenie6" xfId="6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7" Type="http://schemas.openxmlformats.org/officeDocument/2006/relationships/worksheet" Target="worksheets/sheet6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20" Type="http://schemas.openxmlformats.org/officeDocument/2006/relationships/styles" Target="styles.xml" /><Relationship Id="rId8" Type="http://schemas.openxmlformats.org/officeDocument/2006/relationships/worksheet" Target="worksheets/sheet7.xml" /><Relationship Id="rId19" Type="http://schemas.openxmlformats.org/officeDocument/2006/relationships/worksheet" Target="worksheets/sheet18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calcChain" Target="calcChain.xml" /><Relationship Id="rId4" Type="http://schemas.openxmlformats.org/officeDocument/2006/relationships/worksheet" Target="worksheets/sheet3.xml" /><Relationship Id="rId18" Type="http://schemas.openxmlformats.org/officeDocument/2006/relationships/worksheet" Target="worksheets/sheet17.xml" /><Relationship Id="rId5" Type="http://schemas.openxmlformats.org/officeDocument/2006/relationships/worksheet" Target="worksheets/sheet4.xml" /><Relationship Id="rId16" Type="http://schemas.openxmlformats.org/officeDocument/2006/relationships/worksheet" Target="worksheets/sheet15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M60"/>
  <sheetViews>
    <sheetView workbookViewId="0" topLeftCell="A1">
      <selection pane="topLeft" activeCell="F38" sqref="F38"/>
    </sheetView>
  </sheetViews>
  <sheetFormatPr defaultRowHeight="12.75"/>
  <cols>
    <col min="4" max="4" width="11.2857142857143" customWidth="1"/>
    <col min="5" max="5" width="12.8571428571429" customWidth="1"/>
    <col min="6" max="6" width="12.2857142857143" customWidth="1"/>
    <col min="9" max="9" width="9.42857142857143" bestFit="1" customWidth="1"/>
    <col min="10" max="11" width="9.28571428571429" bestFit="1" customWidth="1"/>
    <col min="12" max="12" width="11.4285714285714" customWidth="1"/>
    <col min="13" max="13" width="11.1428571428571" customWidth="1"/>
  </cols>
  <sheetData>
    <row r="1" spans="1:1" ht="12.75">
      <c r="A1" s="1" t="s">
        <v>0</v>
      </c>
    </row>
    <row r="3" spans="1:8" ht="12.75">
      <c r="A3" s="1" t="s">
        <v>1</v>
      </c>
      <c r="E3" s="433" t="s">
        <v>2</v>
      </c>
      <c r="F3" s="433"/>
      <c r="H3" s="1" t="s">
        <v>17</v>
      </c>
    </row>
    <row r="4" spans="1:13" ht="12.75">
      <c r="A4" s="427"/>
      <c r="B4" s="427"/>
      <c r="C4" s="427"/>
      <c r="D4" s="3" t="s">
        <v>3</v>
      </c>
      <c r="E4" s="15">
        <v>744</v>
      </c>
      <c r="F4" s="3">
        <f>E4</f>
        <v>744</v>
      </c>
      <c r="H4" s="427"/>
      <c r="I4" s="427"/>
      <c r="J4" s="427"/>
      <c r="K4" s="3" t="s">
        <v>3</v>
      </c>
      <c r="L4" s="2">
        <v>744</v>
      </c>
      <c r="M4" s="2">
        <v>744</v>
      </c>
    </row>
    <row r="5" spans="1:13" ht="12.75">
      <c r="A5" s="428" t="s">
        <v>4</v>
      </c>
      <c r="B5" s="428"/>
      <c r="C5" s="428"/>
      <c r="D5" s="5">
        <v>14</v>
      </c>
      <c r="E5" s="6">
        <f>E4/100*D5</f>
        <v>104.16000000000001</v>
      </c>
      <c r="F5" s="7">
        <f t="shared" si="0" ref="F5:F12">FLOOR(E5,0.01)</f>
        <v>104.16</v>
      </c>
      <c r="H5" s="428" t="s">
        <v>4</v>
      </c>
      <c r="I5" s="428"/>
      <c r="J5" s="428"/>
      <c r="K5" s="5">
        <v>4</v>
      </c>
      <c r="L5" s="6">
        <f>L4/100*K5</f>
        <v>29.760000000000002</v>
      </c>
      <c r="M5" s="8">
        <f>FLOOR(L5,0.01)</f>
        <v>29.760000000000002</v>
      </c>
    </row>
    <row r="6" spans="1:13" ht="12.75">
      <c r="A6" s="426" t="s">
        <v>5</v>
      </c>
      <c r="B6" s="426"/>
      <c r="C6" s="426"/>
      <c r="D6" s="9">
        <v>1.40</v>
      </c>
      <c r="E6" s="6">
        <f>E4/100*D6</f>
        <v>10.416</v>
      </c>
      <c r="F6" s="7">
        <f>FLOOR(E6,0.01)</f>
        <v>10.41</v>
      </c>
      <c r="H6" s="426" t="s">
        <v>5</v>
      </c>
      <c r="I6" s="426"/>
      <c r="J6" s="426"/>
      <c r="K6" s="9">
        <v>1.40</v>
      </c>
      <c r="L6" s="6">
        <f>L4/100*K6</f>
        <v>10.416</v>
      </c>
      <c r="M6" s="8">
        <f>FLOOR(L6,0.01)</f>
        <v>10.41</v>
      </c>
    </row>
    <row r="7" spans="1:13" ht="12.75">
      <c r="A7" s="3" t="s">
        <v>6</v>
      </c>
      <c r="B7" s="3"/>
      <c r="C7" s="3"/>
      <c r="D7" s="9">
        <v>1</v>
      </c>
      <c r="E7" s="6">
        <f>E4/100*D7</f>
        <v>7.4400000000000004</v>
      </c>
      <c r="F7" s="7">
        <f>FLOOR(E7,0.01)</f>
        <v>7.4400000000000004</v>
      </c>
      <c r="H7" s="3" t="s">
        <v>6</v>
      </c>
      <c r="I7" s="3"/>
      <c r="J7" s="3"/>
      <c r="K7" s="9">
        <v>1</v>
      </c>
      <c r="L7" s="6">
        <f>L4/100*K7</f>
        <v>7.4400000000000004</v>
      </c>
      <c r="M7" s="8">
        <f>FLOOR(L7,0.01)</f>
        <v>7.4400000000000004</v>
      </c>
    </row>
    <row r="8" spans="1:13" ht="12.75">
      <c r="A8" s="426" t="s">
        <v>7</v>
      </c>
      <c r="B8" s="426"/>
      <c r="C8" s="426"/>
      <c r="D8" s="9">
        <v>3</v>
      </c>
      <c r="E8" s="6">
        <f>E4/100*D8</f>
        <v>22.32</v>
      </c>
      <c r="F8" s="7">
        <f>FLOOR(E8,0.01)</f>
        <v>22.32</v>
      </c>
      <c r="H8" s="426" t="s">
        <v>7</v>
      </c>
      <c r="I8" s="426"/>
      <c r="J8" s="426"/>
      <c r="K8" s="9">
        <v>3</v>
      </c>
      <c r="L8" s="6">
        <f>L4/100*K8</f>
        <v>22.32</v>
      </c>
      <c r="M8" s="8">
        <f>FLOOR(L8,0.01)</f>
        <v>22.32</v>
      </c>
    </row>
    <row r="9" spans="1:13" ht="12.75">
      <c r="A9" s="426" t="s">
        <v>8</v>
      </c>
      <c r="B9" s="426"/>
      <c r="C9" s="426"/>
      <c r="D9" s="9">
        <v>0.80</v>
      </c>
      <c r="E9" s="6">
        <f>E4/100*D9</f>
        <v>5.9520000000000008</v>
      </c>
      <c r="F9" s="7">
        <f>FLOOR(E9,0.01)</f>
        <v>5.9500000000000002</v>
      </c>
      <c r="H9" s="426" t="s">
        <v>8</v>
      </c>
      <c r="I9" s="426"/>
      <c r="J9" s="426"/>
      <c r="K9" s="9">
        <v>0</v>
      </c>
      <c r="L9" s="6">
        <v>0</v>
      </c>
      <c r="M9" s="3">
        <v>0</v>
      </c>
    </row>
    <row r="10" spans="1:13" ht="12.75">
      <c r="A10" s="426" t="s">
        <v>9</v>
      </c>
      <c r="B10" s="426"/>
      <c r="C10" s="426"/>
      <c r="D10" s="9">
        <v>0.25</v>
      </c>
      <c r="E10" s="6">
        <f>E4/100*D10</f>
        <v>1.8600000000000001</v>
      </c>
      <c r="F10" s="7">
        <f>FLOOR(E10,0.01)</f>
        <v>1.8600000000000001</v>
      </c>
      <c r="H10" s="426" t="s">
        <v>9</v>
      </c>
      <c r="I10" s="426"/>
      <c r="J10" s="426"/>
      <c r="K10" s="9">
        <v>0</v>
      </c>
      <c r="L10" s="6">
        <v>0</v>
      </c>
      <c r="M10" s="3">
        <v>0</v>
      </c>
    </row>
    <row r="11" spans="1:13" ht="12.75">
      <c r="A11" s="426" t="s">
        <v>10</v>
      </c>
      <c r="B11" s="426"/>
      <c r="C11" s="426"/>
      <c r="D11" s="9">
        <v>4.75</v>
      </c>
      <c r="E11" s="6">
        <f>E4/100*D11</f>
        <v>35.340000000000003</v>
      </c>
      <c r="F11" s="7">
        <f>FLOOR(E11,0.01)</f>
        <v>35.340000000000003</v>
      </c>
      <c r="H11" s="426" t="s">
        <v>10</v>
      </c>
      <c r="I11" s="426"/>
      <c r="J11" s="426"/>
      <c r="K11" s="9">
        <v>0</v>
      </c>
      <c r="L11" s="6">
        <v>0</v>
      </c>
      <c r="M11" s="3">
        <v>0</v>
      </c>
    </row>
    <row r="12" spans="1:13" ht="12.75">
      <c r="A12" s="426" t="s">
        <v>11</v>
      </c>
      <c r="B12" s="426"/>
      <c r="C12" s="426"/>
      <c r="D12" s="9">
        <v>10</v>
      </c>
      <c r="E12" s="6">
        <f>E4/100*D12</f>
        <v>74.400000000000006</v>
      </c>
      <c r="F12" s="7">
        <f>FLOOR(E12,0.01)</f>
        <v>74.400000000000006</v>
      </c>
      <c r="H12" s="426" t="s">
        <v>11</v>
      </c>
      <c r="I12" s="426"/>
      <c r="J12" s="426"/>
      <c r="K12" s="9">
        <v>4</v>
      </c>
      <c r="L12" s="6">
        <f>L4/100*K12</f>
        <v>29.760000000000002</v>
      </c>
      <c r="M12" s="8">
        <f>FLOOR(L12,0.01)</f>
        <v>29.760000000000002</v>
      </c>
    </row>
    <row r="13" spans="1:13" ht="12.75">
      <c r="A13" s="429" t="s">
        <v>12</v>
      </c>
      <c r="B13" s="430"/>
      <c r="C13" s="431"/>
      <c r="D13" s="10">
        <f>SUM(D5:D12)</f>
        <v>35.200000000000003</v>
      </c>
      <c r="E13" s="6">
        <f>SUM(E5:E12)</f>
        <v>261.88800000000003</v>
      </c>
      <c r="F13" s="11">
        <f>SUM(F5:F12)</f>
        <v>261.88</v>
      </c>
      <c r="H13" s="429" t="s">
        <v>12</v>
      </c>
      <c r="I13" s="430"/>
      <c r="J13" s="431"/>
      <c r="K13" s="10">
        <f>SUM(K5:K12)</f>
        <v>13.4</v>
      </c>
      <c r="L13" s="6">
        <f>SUM(L5:L12)</f>
        <v>99.696000000000012</v>
      </c>
      <c r="M13" s="12">
        <f>SUM(M5:M12)</f>
        <v>99.690000000000012</v>
      </c>
    </row>
    <row r="14" spans="1:13" ht="12.75">
      <c r="A14" s="16"/>
      <c r="B14" s="4"/>
      <c r="C14" s="4"/>
      <c r="D14" s="4"/>
      <c r="E14" s="3"/>
      <c r="F14" s="17"/>
      <c r="H14" s="16"/>
      <c r="I14" s="4"/>
      <c r="J14" s="4"/>
      <c r="K14" s="4"/>
      <c r="L14" s="4"/>
      <c r="M14" s="17"/>
    </row>
    <row r="15" spans="1:13" ht="12.75">
      <c r="A15" s="432" t="s">
        <v>13</v>
      </c>
      <c r="B15" s="432"/>
      <c r="C15" s="432"/>
      <c r="D15" s="3"/>
      <c r="E15" s="13">
        <f>E4+E13</f>
        <v>1005.888</v>
      </c>
      <c r="F15" s="14">
        <f>F4+F13</f>
        <v>1005.88</v>
      </c>
      <c r="H15" s="425"/>
      <c r="I15" s="425"/>
      <c r="J15" s="425"/>
      <c r="K15" s="18"/>
      <c r="L15" s="19"/>
      <c r="M15" s="20"/>
    </row>
    <row r="18" spans="1:8" ht="12.75">
      <c r="A18" s="1" t="s">
        <v>1</v>
      </c>
      <c r="E18" s="433" t="s">
        <v>14</v>
      </c>
      <c r="F18" s="433"/>
      <c r="H18" s="1" t="s">
        <v>18</v>
      </c>
    </row>
    <row r="19" spans="1:13" ht="12.75">
      <c r="A19" s="427"/>
      <c r="B19" s="427"/>
      <c r="C19" s="427"/>
      <c r="D19" s="3" t="s">
        <v>3</v>
      </c>
      <c r="E19" s="15">
        <v>317</v>
      </c>
      <c r="F19" s="3">
        <v>317</v>
      </c>
      <c r="H19" s="427"/>
      <c r="I19" s="427"/>
      <c r="J19" s="427"/>
      <c r="K19" s="3" t="s">
        <v>3</v>
      </c>
      <c r="L19" s="2">
        <v>317</v>
      </c>
      <c r="M19" s="2">
        <v>317</v>
      </c>
    </row>
    <row r="20" spans="1:13" ht="12.75">
      <c r="A20" s="428" t="s">
        <v>4</v>
      </c>
      <c r="B20" s="428"/>
      <c r="C20" s="428"/>
      <c r="D20" s="5">
        <v>14</v>
      </c>
      <c r="E20" s="6">
        <f>E19/100*D20</f>
        <v>44.379999999999995</v>
      </c>
      <c r="F20" s="7">
        <f t="shared" si="1" ref="F20:F27">FLOOR(E20,0.01)</f>
        <v>44.380000000000003</v>
      </c>
      <c r="H20" s="428" t="s">
        <v>4</v>
      </c>
      <c r="I20" s="428"/>
      <c r="J20" s="428"/>
      <c r="K20" s="5">
        <v>4</v>
      </c>
      <c r="L20" s="6">
        <f>L19/100*K20</f>
        <v>12.68</v>
      </c>
      <c r="M20" s="8">
        <f>FLOOR(L20,0.01)</f>
        <v>12.68</v>
      </c>
    </row>
    <row r="21" spans="1:13" ht="12.75">
      <c r="A21" s="426" t="s">
        <v>5</v>
      </c>
      <c r="B21" s="426"/>
      <c r="C21" s="426"/>
      <c r="D21" s="9">
        <v>1.40</v>
      </c>
      <c r="E21" s="6">
        <f>E19/100*D21</f>
        <v>4.4379999999999997</v>
      </c>
      <c r="F21" s="7">
        <f>FLOOR(E21,0.01)</f>
        <v>4.4299999999999997</v>
      </c>
      <c r="H21" s="426" t="s">
        <v>5</v>
      </c>
      <c r="I21" s="426"/>
      <c r="J21" s="426"/>
      <c r="K21" s="9">
        <v>1.40</v>
      </c>
      <c r="L21" s="6">
        <f>L19/100*K21</f>
        <v>4.4379999999999997</v>
      </c>
      <c r="M21" s="8">
        <f>FLOOR(L21,0.01)</f>
        <v>4.4299999999999997</v>
      </c>
    </row>
    <row r="22" spans="1:13" ht="12.75">
      <c r="A22" s="3" t="s">
        <v>6</v>
      </c>
      <c r="B22" s="3"/>
      <c r="C22" s="3"/>
      <c r="D22" s="9">
        <v>1</v>
      </c>
      <c r="E22" s="6">
        <f>E19/100*D22</f>
        <v>3.1699999999999999</v>
      </c>
      <c r="F22" s="7">
        <f>FLOOR(E22,0.01)</f>
        <v>3.1699999999999999</v>
      </c>
      <c r="H22" s="3" t="s">
        <v>6</v>
      </c>
      <c r="I22" s="3"/>
      <c r="J22" s="3"/>
      <c r="K22" s="9">
        <v>1</v>
      </c>
      <c r="L22" s="6">
        <f>L19/100*K22</f>
        <v>3.1699999999999999</v>
      </c>
      <c r="M22" s="8">
        <f>FLOOR(L22,0.01)</f>
        <v>3.1699999999999999</v>
      </c>
    </row>
    <row r="23" spans="1:13" ht="12.75">
      <c r="A23" s="426" t="s">
        <v>7</v>
      </c>
      <c r="B23" s="426"/>
      <c r="C23" s="426"/>
      <c r="D23" s="9">
        <v>3</v>
      </c>
      <c r="E23" s="6">
        <f>E19/100*D23</f>
        <v>9.5099999999999998</v>
      </c>
      <c r="F23" s="7">
        <f>FLOOR(E23,0.01)</f>
        <v>9.5099999999999998</v>
      </c>
      <c r="H23" s="426" t="s">
        <v>7</v>
      </c>
      <c r="I23" s="426"/>
      <c r="J23" s="426"/>
      <c r="K23" s="9">
        <v>3</v>
      </c>
      <c r="L23" s="6">
        <f>L19/100*K23</f>
        <v>9.5099999999999998</v>
      </c>
      <c r="M23" s="8">
        <f>FLOOR(L23,0.01)</f>
        <v>9.5099999999999998</v>
      </c>
    </row>
    <row r="24" spans="1:13" ht="12.75">
      <c r="A24" s="426" t="s">
        <v>8</v>
      </c>
      <c r="B24" s="426"/>
      <c r="C24" s="426"/>
      <c r="D24" s="9">
        <v>0.80</v>
      </c>
      <c r="E24" s="6">
        <f>E19/100*D24</f>
        <v>2.536</v>
      </c>
      <c r="F24" s="7">
        <f>FLOOR(E24,0.01)</f>
        <v>2.5300000000000002</v>
      </c>
      <c r="H24" s="426" t="s">
        <v>8</v>
      </c>
      <c r="I24" s="426"/>
      <c r="J24" s="426"/>
      <c r="K24" s="9">
        <v>0</v>
      </c>
      <c r="L24" s="6">
        <v>0</v>
      </c>
      <c r="M24" s="3">
        <v>0</v>
      </c>
    </row>
    <row r="25" spans="1:13" ht="12.75">
      <c r="A25" s="426" t="s">
        <v>9</v>
      </c>
      <c r="B25" s="426"/>
      <c r="C25" s="426"/>
      <c r="D25" s="9">
        <v>0.25</v>
      </c>
      <c r="E25" s="6">
        <f>E19/100*D25</f>
        <v>0.79249999999999998</v>
      </c>
      <c r="F25" s="7">
        <f>FLOOR(E25,0.01)</f>
        <v>0.79000000000000004</v>
      </c>
      <c r="H25" s="426" t="s">
        <v>9</v>
      </c>
      <c r="I25" s="426"/>
      <c r="J25" s="426"/>
      <c r="K25" s="9">
        <v>0</v>
      </c>
      <c r="L25" s="6">
        <v>0</v>
      </c>
      <c r="M25" s="3">
        <v>0</v>
      </c>
    </row>
    <row r="26" spans="1:13" ht="12.75">
      <c r="A26" s="426" t="s">
        <v>10</v>
      </c>
      <c r="B26" s="426"/>
      <c r="C26" s="426"/>
      <c r="D26" s="9">
        <v>4.75</v>
      </c>
      <c r="E26" s="6">
        <f>E19/100*D26</f>
        <v>15.057499999999999</v>
      </c>
      <c r="F26" s="7">
        <f>FLOOR(E26,0.01)</f>
        <v>15.050000000000001</v>
      </c>
      <c r="H26" s="426" t="s">
        <v>10</v>
      </c>
      <c r="I26" s="426"/>
      <c r="J26" s="426"/>
      <c r="K26" s="9">
        <v>0</v>
      </c>
      <c r="L26" s="6">
        <v>0</v>
      </c>
      <c r="M26" s="3">
        <v>0</v>
      </c>
    </row>
    <row r="27" spans="1:13" ht="12.75">
      <c r="A27" s="426" t="s">
        <v>11</v>
      </c>
      <c r="B27" s="426"/>
      <c r="C27" s="426"/>
      <c r="D27" s="9">
        <v>10</v>
      </c>
      <c r="E27" s="6">
        <f>E19/100*D27</f>
        <v>31.699999999999999</v>
      </c>
      <c r="F27" s="7">
        <f>FLOOR(E27,0.01)</f>
        <v>31.699999999999999</v>
      </c>
      <c r="H27" s="426" t="s">
        <v>11</v>
      </c>
      <c r="I27" s="426"/>
      <c r="J27" s="426"/>
      <c r="K27" s="9">
        <v>4</v>
      </c>
      <c r="L27" s="6">
        <f>L19/100*K27</f>
        <v>12.68</v>
      </c>
      <c r="M27" s="8">
        <f>FLOOR(L27,0.01)</f>
        <v>12.68</v>
      </c>
    </row>
    <row r="28" spans="1:13" ht="12.75">
      <c r="A28" s="429" t="s">
        <v>12</v>
      </c>
      <c r="B28" s="430"/>
      <c r="C28" s="431"/>
      <c r="D28" s="10">
        <f>SUM(D20:D27)</f>
        <v>35.200000000000003</v>
      </c>
      <c r="E28" s="6">
        <f>SUM(E20:E27)</f>
        <v>111.584</v>
      </c>
      <c r="F28" s="11">
        <f>SUM(F20:F27)</f>
        <v>111.56</v>
      </c>
      <c r="H28" s="429" t="s">
        <v>12</v>
      </c>
      <c r="I28" s="430"/>
      <c r="J28" s="431"/>
      <c r="K28" s="10">
        <f>SUM(K20:K27)</f>
        <v>13.4</v>
      </c>
      <c r="L28" s="6">
        <f>SUM(L20:L27)</f>
        <v>42.477999999999994</v>
      </c>
      <c r="M28" s="12">
        <f>SUM(M20:M27)</f>
        <v>42.469999999999999</v>
      </c>
    </row>
    <row r="29" spans="1:13" ht="12.75">
      <c r="A29" s="16"/>
      <c r="B29" s="4"/>
      <c r="C29" s="4"/>
      <c r="D29" s="4"/>
      <c r="E29" s="3"/>
      <c r="F29" s="17"/>
      <c r="H29" s="16"/>
      <c r="I29" s="4"/>
      <c r="J29" s="4"/>
      <c r="K29" s="4"/>
      <c r="L29" s="4"/>
      <c r="M29" s="17"/>
    </row>
    <row r="30" spans="1:13" ht="12.75">
      <c r="A30" s="432" t="s">
        <v>13</v>
      </c>
      <c r="B30" s="432"/>
      <c r="C30" s="432"/>
      <c r="D30" s="3"/>
      <c r="E30" s="13">
        <f>E19+E28</f>
        <v>428.584</v>
      </c>
      <c r="F30" s="14">
        <f>F19+F28</f>
        <v>428.56</v>
      </c>
      <c r="H30" s="425"/>
      <c r="I30" s="425"/>
      <c r="J30" s="425"/>
      <c r="K30" s="18"/>
      <c r="L30" s="19"/>
      <c r="M30" s="20"/>
    </row>
    <row r="33" spans="1:8" ht="12.75">
      <c r="A33" s="1" t="s">
        <v>1</v>
      </c>
      <c r="E33" s="433" t="s">
        <v>15</v>
      </c>
      <c r="F33" s="433"/>
      <c r="H33" s="1" t="s">
        <v>19</v>
      </c>
    </row>
    <row r="34" spans="1:13" ht="12.75">
      <c r="A34" s="427"/>
      <c r="B34" s="427"/>
      <c r="C34" s="427"/>
      <c r="D34" s="3" t="s">
        <v>3</v>
      </c>
      <c r="E34" s="15">
        <v>253.60</v>
      </c>
      <c r="F34" s="3">
        <v>253.60</v>
      </c>
      <c r="H34" s="427"/>
      <c r="I34" s="427"/>
      <c r="J34" s="427"/>
      <c r="K34" s="3" t="s">
        <v>3</v>
      </c>
      <c r="L34" s="2">
        <v>253.60</v>
      </c>
      <c r="M34" s="2">
        <v>253.60</v>
      </c>
    </row>
    <row r="35" spans="1:13" ht="12.75">
      <c r="A35" s="428" t="s">
        <v>4</v>
      </c>
      <c r="B35" s="428"/>
      <c r="C35" s="428"/>
      <c r="D35" s="5">
        <v>14</v>
      </c>
      <c r="E35" s="6">
        <f>E34/100*D35</f>
        <v>35.503999999999998</v>
      </c>
      <c r="F35" s="7">
        <f>FLOOR(E35,0.01)</f>
        <v>35.5</v>
      </c>
      <c r="H35" s="428" t="s">
        <v>4</v>
      </c>
      <c r="I35" s="428"/>
      <c r="J35" s="428"/>
      <c r="K35" s="5">
        <v>4</v>
      </c>
      <c r="L35" s="6">
        <f>L34/100*K35</f>
        <v>10.144</v>
      </c>
      <c r="M35" s="8">
        <f>FLOOR(L35,0.01)</f>
        <v>10.140000000000001</v>
      </c>
    </row>
    <row r="36" spans="1:13" ht="12.75">
      <c r="A36" s="426" t="s">
        <v>5</v>
      </c>
      <c r="B36" s="426"/>
      <c r="C36" s="426"/>
      <c r="D36" s="9">
        <v>1.40</v>
      </c>
      <c r="E36" s="6">
        <f>E34/100*D36</f>
        <v>3.5503999999999998</v>
      </c>
      <c r="F36" s="7">
        <f t="shared" si="2" ref="F36:F42">FLOOR(E36,0.01)</f>
        <v>3.5500000000000003</v>
      </c>
      <c r="H36" s="426" t="s">
        <v>5</v>
      </c>
      <c r="I36" s="426"/>
      <c r="J36" s="426"/>
      <c r="K36" s="9">
        <v>1.40</v>
      </c>
      <c r="L36" s="6">
        <f>L34/100*K36</f>
        <v>3.5503999999999998</v>
      </c>
      <c r="M36" s="8">
        <f>FLOOR(L36,0.01)</f>
        <v>3.5500000000000003</v>
      </c>
    </row>
    <row r="37" spans="1:13" ht="12.75">
      <c r="A37" s="3" t="s">
        <v>6</v>
      </c>
      <c r="B37" s="3"/>
      <c r="C37" s="3"/>
      <c r="D37" s="9">
        <v>1</v>
      </c>
      <c r="E37" s="6">
        <f>E34/100*D37</f>
        <v>2.536</v>
      </c>
      <c r="F37" s="7">
        <f>FLOOR(E37,0.01)</f>
        <v>2.5300000000000002</v>
      </c>
      <c r="H37" s="3" t="s">
        <v>6</v>
      </c>
      <c r="I37" s="3"/>
      <c r="J37" s="3"/>
      <c r="K37" s="9">
        <v>1</v>
      </c>
      <c r="L37" s="6">
        <f>L34/100*K37</f>
        <v>2.536</v>
      </c>
      <c r="M37" s="8">
        <f>FLOOR(L37,0.01)</f>
        <v>2.5300000000000002</v>
      </c>
    </row>
    <row r="38" spans="1:13" ht="12.75">
      <c r="A38" s="426" t="s">
        <v>7</v>
      </c>
      <c r="B38" s="426"/>
      <c r="C38" s="426"/>
      <c r="D38" s="9">
        <v>3</v>
      </c>
      <c r="E38" s="6">
        <f>E34/100*D38</f>
        <v>7.6080000000000005</v>
      </c>
      <c r="F38" s="7">
        <f>FLOOR(E38,0.01)</f>
        <v>7.6000000000000005</v>
      </c>
      <c r="H38" s="426" t="s">
        <v>7</v>
      </c>
      <c r="I38" s="426"/>
      <c r="J38" s="426"/>
      <c r="K38" s="9">
        <v>3</v>
      </c>
      <c r="L38" s="6">
        <f>L34/100*K38</f>
        <v>7.6080000000000005</v>
      </c>
      <c r="M38" s="8">
        <f>FLOOR(L38,0.01)</f>
        <v>7.6000000000000005</v>
      </c>
    </row>
    <row r="39" spans="1:13" ht="12.75">
      <c r="A39" s="426" t="s">
        <v>8</v>
      </c>
      <c r="B39" s="426"/>
      <c r="C39" s="426"/>
      <c r="D39" s="9">
        <v>0.80</v>
      </c>
      <c r="E39" s="6">
        <f>E34/100*D39</f>
        <v>2.0287999999999999</v>
      </c>
      <c r="F39" s="7">
        <f>FLOOR(E39,0.01)</f>
        <v>2.02</v>
      </c>
      <c r="H39" s="426" t="s">
        <v>8</v>
      </c>
      <c r="I39" s="426"/>
      <c r="J39" s="426"/>
      <c r="K39" s="9">
        <v>0</v>
      </c>
      <c r="L39" s="6">
        <v>0</v>
      </c>
      <c r="M39" s="3">
        <v>0</v>
      </c>
    </row>
    <row r="40" spans="1:13" ht="12.75">
      <c r="A40" s="426" t="s">
        <v>9</v>
      </c>
      <c r="B40" s="426"/>
      <c r="C40" s="426"/>
      <c r="D40" s="9">
        <v>0.25</v>
      </c>
      <c r="E40" s="6">
        <f>E34/100*D40</f>
        <v>0.63400000000000001</v>
      </c>
      <c r="F40" s="7">
        <f>FLOOR(E40,0.01)</f>
        <v>0.63</v>
      </c>
      <c r="H40" s="426" t="s">
        <v>9</v>
      </c>
      <c r="I40" s="426"/>
      <c r="J40" s="426"/>
      <c r="K40" s="9">
        <v>0</v>
      </c>
      <c r="L40" s="6">
        <v>0</v>
      </c>
      <c r="M40" s="3">
        <v>0</v>
      </c>
    </row>
    <row r="41" spans="1:13" ht="12.75">
      <c r="A41" s="426" t="s">
        <v>10</v>
      </c>
      <c r="B41" s="426"/>
      <c r="C41" s="426"/>
      <c r="D41" s="9">
        <v>4.75</v>
      </c>
      <c r="E41" s="6">
        <f>E34/100*D41</f>
        <v>12.045999999999999</v>
      </c>
      <c r="F41" s="7">
        <f>FLOOR(E41,0.01)</f>
        <v>12.040000000000001</v>
      </c>
      <c r="H41" s="426" t="s">
        <v>10</v>
      </c>
      <c r="I41" s="426"/>
      <c r="J41" s="426"/>
      <c r="K41" s="9">
        <v>0</v>
      </c>
      <c r="L41" s="6">
        <v>0</v>
      </c>
      <c r="M41" s="3">
        <v>0</v>
      </c>
    </row>
    <row r="42" spans="1:13" ht="12.75">
      <c r="A42" s="426" t="s">
        <v>11</v>
      </c>
      <c r="B42" s="426"/>
      <c r="C42" s="426"/>
      <c r="D42" s="9">
        <v>10</v>
      </c>
      <c r="E42" s="6">
        <f>E34/100*D42</f>
        <v>25.359999999999999</v>
      </c>
      <c r="F42" s="7">
        <f>FLOOR(E42,0.01)</f>
        <v>25.359999999999999</v>
      </c>
      <c r="H42" s="426" t="s">
        <v>11</v>
      </c>
      <c r="I42" s="426"/>
      <c r="J42" s="426"/>
      <c r="K42" s="9">
        <v>4</v>
      </c>
      <c r="L42" s="6">
        <f>L34/100*K42</f>
        <v>10.144</v>
      </c>
      <c r="M42" s="8">
        <f>FLOOR(L42,0.01)</f>
        <v>10.140000000000001</v>
      </c>
    </row>
    <row r="43" spans="1:13" ht="12.75">
      <c r="A43" s="429" t="s">
        <v>12</v>
      </c>
      <c r="B43" s="430"/>
      <c r="C43" s="431"/>
      <c r="D43" s="10">
        <f>SUM(D35:D42)</f>
        <v>35.200000000000003</v>
      </c>
      <c r="E43" s="6">
        <f>SUM(E35:E42)</f>
        <v>89.267200000000003</v>
      </c>
      <c r="F43" s="11">
        <f>SUM(F35:F42)</f>
        <v>89.230000000000004</v>
      </c>
      <c r="H43" s="429" t="s">
        <v>12</v>
      </c>
      <c r="I43" s="430"/>
      <c r="J43" s="431"/>
      <c r="K43" s="10">
        <f>SUM(K35:K42)</f>
        <v>13.4</v>
      </c>
      <c r="L43" s="6">
        <f>SUM(L35:L42)</f>
        <v>33.982399999999998</v>
      </c>
      <c r="M43" s="12">
        <f>SUM(M35:M42)</f>
        <v>33.960000000000008</v>
      </c>
    </row>
    <row r="44" spans="1:13" ht="12.75">
      <c r="A44" s="16"/>
      <c r="B44" s="4"/>
      <c r="C44" s="4"/>
      <c r="D44" s="4"/>
      <c r="E44" s="3"/>
      <c r="F44" s="17"/>
      <c r="H44" s="16"/>
      <c r="I44" s="4"/>
      <c r="J44" s="4"/>
      <c r="K44" s="4"/>
      <c r="L44" s="4"/>
      <c r="M44" s="17"/>
    </row>
    <row r="45" spans="1:13" ht="12.75">
      <c r="A45" s="432" t="s">
        <v>13</v>
      </c>
      <c r="B45" s="432"/>
      <c r="C45" s="432"/>
      <c r="D45" s="3"/>
      <c r="E45" s="13">
        <f>E34+E43</f>
        <v>342.86720000000003</v>
      </c>
      <c r="F45" s="14">
        <f>F34+F43</f>
        <v>342.82999999999998</v>
      </c>
      <c r="H45" s="425"/>
      <c r="I45" s="425"/>
      <c r="J45" s="425"/>
      <c r="K45" s="18"/>
      <c r="L45" s="19"/>
      <c r="M45" s="20"/>
    </row>
    <row r="48" spans="1:8" ht="12.75">
      <c r="A48" s="1" t="s">
        <v>1</v>
      </c>
      <c r="E48" s="433" t="s">
        <v>16</v>
      </c>
      <c r="F48" s="433"/>
      <c r="H48" s="1" t="s">
        <v>20</v>
      </c>
    </row>
    <row r="49" spans="1:13" ht="12.75">
      <c r="A49" s="427"/>
      <c r="B49" s="427"/>
      <c r="C49" s="427"/>
      <c r="D49" s="3" t="s">
        <v>3</v>
      </c>
      <c r="E49" s="15">
        <v>221.90</v>
      </c>
      <c r="F49" s="3">
        <v>221.90</v>
      </c>
      <c r="H49" s="427"/>
      <c r="I49" s="427"/>
      <c r="J49" s="427"/>
      <c r="K49" s="3" t="s">
        <v>3</v>
      </c>
      <c r="L49" s="2">
        <v>221.90</v>
      </c>
      <c r="M49" s="2">
        <v>221.90</v>
      </c>
    </row>
    <row r="50" spans="1:13" ht="12.75">
      <c r="A50" s="428" t="s">
        <v>4</v>
      </c>
      <c r="B50" s="428"/>
      <c r="C50" s="428"/>
      <c r="D50" s="5">
        <v>14</v>
      </c>
      <c r="E50" s="6">
        <f>E49/100*D50</f>
        <v>31.065999999999999</v>
      </c>
      <c r="F50" s="7">
        <f t="shared" si="3" ref="F50:F57">FLOOR(E50,0.01)</f>
        <v>31.060000000000002</v>
      </c>
      <c r="H50" s="428" t="s">
        <v>4</v>
      </c>
      <c r="I50" s="428"/>
      <c r="J50" s="428"/>
      <c r="K50" s="5">
        <v>4</v>
      </c>
      <c r="L50" s="6">
        <f>L49/100*K50</f>
        <v>8.8759999999999994</v>
      </c>
      <c r="M50" s="8">
        <f>FLOOR(L50,0.01)</f>
        <v>8.870000000000001</v>
      </c>
    </row>
    <row r="51" spans="1:13" ht="12.75">
      <c r="A51" s="426" t="s">
        <v>5</v>
      </c>
      <c r="B51" s="426"/>
      <c r="C51" s="426"/>
      <c r="D51" s="9">
        <v>1.40</v>
      </c>
      <c r="E51" s="6">
        <f>E49/100*D51</f>
        <v>3.1065999999999998</v>
      </c>
      <c r="F51" s="7">
        <f>FLOOR(E51,0.01)</f>
        <v>3.1000000000000001</v>
      </c>
      <c r="H51" s="426" t="s">
        <v>5</v>
      </c>
      <c r="I51" s="426"/>
      <c r="J51" s="426"/>
      <c r="K51" s="9">
        <v>1.40</v>
      </c>
      <c r="L51" s="6">
        <f>L49/100*K51</f>
        <v>3.1065999999999998</v>
      </c>
      <c r="M51" s="8">
        <f>FLOOR(L51,0.01)</f>
        <v>3.1000000000000001</v>
      </c>
    </row>
    <row r="52" spans="1:13" ht="12.75">
      <c r="A52" s="3" t="s">
        <v>6</v>
      </c>
      <c r="B52" s="3"/>
      <c r="C52" s="3"/>
      <c r="D52" s="9">
        <v>1</v>
      </c>
      <c r="E52" s="6">
        <f>E49/100*D52</f>
        <v>2.2189999999999999</v>
      </c>
      <c r="F52" s="7">
        <f>FLOOR(E52,0.01)</f>
        <v>2.21</v>
      </c>
      <c r="H52" s="3" t="s">
        <v>6</v>
      </c>
      <c r="I52" s="3"/>
      <c r="J52" s="3"/>
      <c r="K52" s="9">
        <v>1</v>
      </c>
      <c r="L52" s="6">
        <f>L49/100*K52</f>
        <v>2.2189999999999999</v>
      </c>
      <c r="M52" s="8">
        <f>FLOOR(L52,0.01)</f>
        <v>2.21</v>
      </c>
    </row>
    <row r="53" spans="1:13" ht="12.75">
      <c r="A53" s="426" t="s">
        <v>7</v>
      </c>
      <c r="B53" s="426"/>
      <c r="C53" s="426"/>
      <c r="D53" s="9">
        <v>3</v>
      </c>
      <c r="E53" s="6">
        <f>E49/100*D53</f>
        <v>6.657</v>
      </c>
      <c r="F53" s="7">
        <f>FLOOR(E53,0.01)</f>
        <v>6.6500000000000004</v>
      </c>
      <c r="H53" s="426" t="s">
        <v>7</v>
      </c>
      <c r="I53" s="426"/>
      <c r="J53" s="426"/>
      <c r="K53" s="9">
        <v>3</v>
      </c>
      <c r="L53" s="6">
        <f>L49/100*K53</f>
        <v>6.657</v>
      </c>
      <c r="M53" s="8">
        <f>FLOOR(L53,0.01)</f>
        <v>6.6500000000000004</v>
      </c>
    </row>
    <row r="54" spans="1:13" ht="12.75">
      <c r="A54" s="426" t="s">
        <v>8</v>
      </c>
      <c r="B54" s="426"/>
      <c r="C54" s="426"/>
      <c r="D54" s="9">
        <v>0.80</v>
      </c>
      <c r="E54" s="6">
        <f>E49/100*D54</f>
        <v>1.7751999999999999</v>
      </c>
      <c r="F54" s="7">
        <f>FLOOR(E54,0.01)</f>
        <v>1.77</v>
      </c>
      <c r="H54" s="426" t="s">
        <v>8</v>
      </c>
      <c r="I54" s="426"/>
      <c r="J54" s="426"/>
      <c r="K54" s="9">
        <v>0</v>
      </c>
      <c r="L54" s="6">
        <v>0</v>
      </c>
      <c r="M54" s="3">
        <v>0</v>
      </c>
    </row>
    <row r="55" spans="1:13" ht="12.75">
      <c r="A55" s="426" t="s">
        <v>9</v>
      </c>
      <c r="B55" s="426"/>
      <c r="C55" s="426"/>
      <c r="D55" s="9">
        <v>0.25</v>
      </c>
      <c r="E55" s="6">
        <f>E49/100*D55</f>
        <v>0.55474999999999997</v>
      </c>
      <c r="F55" s="7">
        <f>FLOOR(E55,0.01)</f>
        <v>0.55000000000000004</v>
      </c>
      <c r="H55" s="426" t="s">
        <v>9</v>
      </c>
      <c r="I55" s="426"/>
      <c r="J55" s="426"/>
      <c r="K55" s="9">
        <v>0</v>
      </c>
      <c r="L55" s="6">
        <v>0</v>
      </c>
      <c r="M55" s="3">
        <v>0</v>
      </c>
    </row>
    <row r="56" spans="1:13" ht="12.75">
      <c r="A56" s="426" t="s">
        <v>10</v>
      </c>
      <c r="B56" s="426"/>
      <c r="C56" s="426"/>
      <c r="D56" s="9">
        <v>4.75</v>
      </c>
      <c r="E56" s="6">
        <f>E49/100*D56</f>
        <v>10.540249999999999</v>
      </c>
      <c r="F56" s="7">
        <f>FLOOR(E56,0.01)</f>
        <v>10.540000000000001</v>
      </c>
      <c r="H56" s="426" t="s">
        <v>10</v>
      </c>
      <c r="I56" s="426"/>
      <c r="J56" s="426"/>
      <c r="K56" s="9">
        <v>0</v>
      </c>
      <c r="L56" s="6">
        <v>0</v>
      </c>
      <c r="M56" s="3">
        <v>0</v>
      </c>
    </row>
    <row r="57" spans="1:13" ht="12.75">
      <c r="A57" s="426" t="s">
        <v>11</v>
      </c>
      <c r="B57" s="426"/>
      <c r="C57" s="426"/>
      <c r="D57" s="9">
        <v>10</v>
      </c>
      <c r="E57" s="6">
        <f>E49/100*D57</f>
        <v>22.189999999999998</v>
      </c>
      <c r="F57" s="7">
        <f>FLOOR(E57,0.01)</f>
        <v>22.190000000000001</v>
      </c>
      <c r="H57" s="426" t="s">
        <v>11</v>
      </c>
      <c r="I57" s="426"/>
      <c r="J57" s="426"/>
      <c r="K57" s="9">
        <v>4</v>
      </c>
      <c r="L57" s="6">
        <f>L49/100*K57</f>
        <v>8.8759999999999994</v>
      </c>
      <c r="M57" s="8">
        <f>FLOOR(L57,0.01)</f>
        <v>8.870000000000001</v>
      </c>
    </row>
    <row r="58" spans="1:13" ht="12.75">
      <c r="A58" s="429" t="s">
        <v>12</v>
      </c>
      <c r="B58" s="430"/>
      <c r="C58" s="431"/>
      <c r="D58" s="10">
        <f>SUM(D50:D57)</f>
        <v>35.200000000000003</v>
      </c>
      <c r="E58" s="6">
        <f>SUM(E50:E57)</f>
        <v>78.108799999999988</v>
      </c>
      <c r="F58" s="11">
        <f>SUM(F50:F57)</f>
        <v>78.070000000000007</v>
      </c>
      <c r="H58" s="429" t="s">
        <v>12</v>
      </c>
      <c r="I58" s="430"/>
      <c r="J58" s="431"/>
      <c r="K58" s="10">
        <f>SUM(K50:K57)</f>
        <v>13.4</v>
      </c>
      <c r="L58" s="6">
        <f>SUM(L50:L57)</f>
        <v>29.7346</v>
      </c>
      <c r="M58" s="12">
        <f>SUM(M50:M57)</f>
        <v>29.699999999999999</v>
      </c>
    </row>
    <row r="59" spans="1:13" ht="12.75">
      <c r="A59" s="16"/>
      <c r="B59" s="4"/>
      <c r="C59" s="4"/>
      <c r="D59" s="4"/>
      <c r="E59" s="3"/>
      <c r="F59" s="17"/>
      <c r="H59" s="16"/>
      <c r="I59" s="4"/>
      <c r="J59" s="4"/>
      <c r="K59" s="4"/>
      <c r="L59" s="4"/>
      <c r="M59" s="17"/>
    </row>
    <row r="60" spans="1:13" ht="12.75">
      <c r="A60" s="432" t="s">
        <v>13</v>
      </c>
      <c r="B60" s="432"/>
      <c r="C60" s="432"/>
      <c r="D60" s="3"/>
      <c r="E60" s="13">
        <f>E49+E58</f>
        <v>300.00880000000001</v>
      </c>
      <c r="F60" s="14">
        <f>F49+F58</f>
        <v>299.97000000000003</v>
      </c>
      <c r="H60" s="425"/>
      <c r="I60" s="425"/>
      <c r="J60" s="425"/>
      <c r="K60" s="18"/>
      <c r="L60" s="19"/>
      <c r="M60" s="20"/>
    </row>
  </sheetData>
  <sheetProtection/>
  <mergeCells count="84">
    <mergeCell ref="H36:J36"/>
    <mergeCell ref="H38:J38"/>
    <mergeCell ref="H43:J43"/>
    <mergeCell ref="H45:J45"/>
    <mergeCell ref="H39:J39"/>
    <mergeCell ref="H40:J40"/>
    <mergeCell ref="H41:J41"/>
    <mergeCell ref="H42:J42"/>
    <mergeCell ref="H28:J28"/>
    <mergeCell ref="H30:J30"/>
    <mergeCell ref="H34:J34"/>
    <mergeCell ref="H35:J35"/>
    <mergeCell ref="H24:J24"/>
    <mergeCell ref="H25:J25"/>
    <mergeCell ref="H26:J26"/>
    <mergeCell ref="H27:J27"/>
    <mergeCell ref="H20:J20"/>
    <mergeCell ref="H21:J21"/>
    <mergeCell ref="H23:J23"/>
    <mergeCell ref="A9:C9"/>
    <mergeCell ref="H9:J9"/>
    <mergeCell ref="E18:F18"/>
    <mergeCell ref="A13:C13"/>
    <mergeCell ref="H13:J13"/>
    <mergeCell ref="A15:C15"/>
    <mergeCell ref="H15:J15"/>
    <mergeCell ref="E3:F3"/>
    <mergeCell ref="A4:C4"/>
    <mergeCell ref="H4:J4"/>
    <mergeCell ref="A5:C5"/>
    <mergeCell ref="H5:J5"/>
    <mergeCell ref="A6:C6"/>
    <mergeCell ref="H6:J6"/>
    <mergeCell ref="A8:C8"/>
    <mergeCell ref="H8:J8"/>
    <mergeCell ref="A19:C19"/>
    <mergeCell ref="A20:C20"/>
    <mergeCell ref="A10:C10"/>
    <mergeCell ref="H10:J10"/>
    <mergeCell ref="A11:C11"/>
    <mergeCell ref="H11:J11"/>
    <mergeCell ref="A12:C12"/>
    <mergeCell ref="H12:J12"/>
    <mergeCell ref="A21:C21"/>
    <mergeCell ref="A23:C23"/>
    <mergeCell ref="A24:C24"/>
    <mergeCell ref="A25:C25"/>
    <mergeCell ref="A26:C26"/>
    <mergeCell ref="A27:C27"/>
    <mergeCell ref="H19:J19"/>
    <mergeCell ref="E48:F48"/>
    <mergeCell ref="A41:C41"/>
    <mergeCell ref="A42:C42"/>
    <mergeCell ref="A43:C43"/>
    <mergeCell ref="A35:C35"/>
    <mergeCell ref="A36:C36"/>
    <mergeCell ref="A39:C39"/>
    <mergeCell ref="A28:C28"/>
    <mergeCell ref="A30:C30"/>
    <mergeCell ref="A60:C60"/>
    <mergeCell ref="A51:C51"/>
    <mergeCell ref="A53:C53"/>
    <mergeCell ref="A54:C54"/>
    <mergeCell ref="A55:C55"/>
    <mergeCell ref="E33:F33"/>
    <mergeCell ref="A34:C34"/>
    <mergeCell ref="A38:C38"/>
    <mergeCell ref="A40:C40"/>
    <mergeCell ref="A45:C45"/>
    <mergeCell ref="A56:C56"/>
    <mergeCell ref="H57:J57"/>
    <mergeCell ref="H58:J58"/>
    <mergeCell ref="A49:C49"/>
    <mergeCell ref="A50:C50"/>
    <mergeCell ref="A57:C57"/>
    <mergeCell ref="A58:C58"/>
    <mergeCell ref="H60:J60"/>
    <mergeCell ref="H53:J53"/>
    <mergeCell ref="H54:J54"/>
    <mergeCell ref="H55:J55"/>
    <mergeCell ref="H56:J56"/>
    <mergeCell ref="H49:J49"/>
    <mergeCell ref="H50:J50"/>
    <mergeCell ref="H51:J51"/>
  </mergeCells>
  <pageMargins left="0.75" right="0.75" top="1" bottom="1" header="0.4921259845" footer="0.4921259845"/>
  <pageSetup orientation="portrait" paperSize="9" scale="6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N17"/>
  <sheetViews>
    <sheetView workbookViewId="0" topLeftCell="A1">
      <selection pane="topLeft" activeCell="M9" sqref="M9:M11"/>
    </sheetView>
  </sheetViews>
  <sheetFormatPr defaultRowHeight="12.75"/>
  <cols>
    <col min="1" max="1" width="18.7142857142857" customWidth="1"/>
    <col min="2" max="2" width="9.28571428571429" customWidth="1"/>
    <col min="4" max="4" width="11" customWidth="1"/>
    <col min="5" max="5" width="10.8571428571429" customWidth="1"/>
    <col min="6" max="6" width="10.7142857142857" customWidth="1"/>
    <col min="10" max="10" width="13.7142857142857" customWidth="1"/>
    <col min="12" max="12" width="13.7142857142857" customWidth="1"/>
    <col min="14" max="14" width="13.7142857142857" customWidth="1"/>
  </cols>
  <sheetData>
    <row r="2" spans="1:1" ht="12.75">
      <c r="A2" s="1" t="s">
        <v>50</v>
      </c>
    </row>
    <row r="3" spans="1:1" ht="13.5" thickBot="1">
      <c r="A3" s="1"/>
    </row>
    <row r="4" spans="1:14" ht="12.75">
      <c r="A4" s="541" t="s">
        <v>78</v>
      </c>
      <c r="B4" s="547" t="s">
        <v>51</v>
      </c>
      <c r="C4" s="547" t="s">
        <v>52</v>
      </c>
      <c r="D4" s="547" t="s">
        <v>53</v>
      </c>
      <c r="E4" s="547" t="s">
        <v>54</v>
      </c>
      <c r="F4" s="545" t="s">
        <v>74</v>
      </c>
      <c r="G4" s="543" t="s">
        <v>75</v>
      </c>
      <c r="H4" s="534" t="s">
        <v>76</v>
      </c>
      <c r="I4" s="532">
        <v>2013</v>
      </c>
      <c r="J4" s="533"/>
      <c r="K4" s="555">
        <v>2014</v>
      </c>
      <c r="L4" s="555"/>
      <c r="M4" s="556">
        <v>2015</v>
      </c>
      <c r="N4" s="557"/>
    </row>
    <row r="5" spans="1:14" ht="55.5" customHeight="1" thickBot="1">
      <c r="A5" s="542"/>
      <c r="B5" s="548"/>
      <c r="C5" s="548"/>
      <c r="D5" s="548"/>
      <c r="E5" s="548"/>
      <c r="F5" s="546"/>
      <c r="G5" s="544"/>
      <c r="H5" s="535"/>
      <c r="I5" s="61" t="s">
        <v>79</v>
      </c>
      <c r="J5" s="59" t="s">
        <v>77</v>
      </c>
      <c r="K5" s="60" t="s">
        <v>79</v>
      </c>
      <c r="L5" s="62" t="s">
        <v>77</v>
      </c>
      <c r="M5" s="61" t="s">
        <v>79</v>
      </c>
      <c r="N5" s="59" t="s">
        <v>77</v>
      </c>
    </row>
    <row r="6" spans="1:14" ht="12.75">
      <c r="A6" s="45" t="s">
        <v>64</v>
      </c>
      <c r="B6" s="46">
        <v>0.5</v>
      </c>
      <c r="C6" s="46">
        <f>B6*2</f>
        <v>1</v>
      </c>
      <c r="D6" s="46">
        <f>C6*21</f>
        <v>21</v>
      </c>
      <c r="E6" s="47" t="s">
        <v>55</v>
      </c>
      <c r="F6" s="52">
        <f>D6*0.9</f>
        <v>18.900000000000002</v>
      </c>
      <c r="G6" s="549">
        <f>AVERAGE(F6:F8)</f>
        <v>34.271999999999998</v>
      </c>
      <c r="H6" s="527">
        <f>G6*6</f>
        <v>205.63200000000001</v>
      </c>
      <c r="I6" s="536">
        <v>12698</v>
      </c>
      <c r="J6" s="527">
        <f>H6*I6</f>
        <v>2611115.1359999999</v>
      </c>
      <c r="K6" s="536">
        <v>12748</v>
      </c>
      <c r="L6" s="527">
        <f>H6*K6</f>
        <v>2621396.736</v>
      </c>
      <c r="M6" s="536">
        <v>12834</v>
      </c>
      <c r="N6" s="527">
        <f>H6*M6</f>
        <v>2639081.088</v>
      </c>
    </row>
    <row r="7" spans="1:14" ht="12.75">
      <c r="A7" s="42" t="s">
        <v>65</v>
      </c>
      <c r="B7" s="26">
        <v>0.87</v>
      </c>
      <c r="C7" s="26">
        <f t="shared" si="0" ref="C7:C13">B7*2</f>
        <v>1.74</v>
      </c>
      <c r="D7" s="26">
        <f t="shared" si="1" ref="D7:D13">C7*21</f>
        <v>36.539999999999999</v>
      </c>
      <c r="E7" s="48" t="s">
        <v>55</v>
      </c>
      <c r="F7" s="53">
        <f>D7*0.9</f>
        <v>32.886000000000003</v>
      </c>
      <c r="G7" s="530"/>
      <c r="H7" s="528"/>
      <c r="I7" s="525"/>
      <c r="J7" s="528"/>
      <c r="K7" s="525"/>
      <c r="L7" s="528"/>
      <c r="M7" s="525"/>
      <c r="N7" s="528"/>
    </row>
    <row r="8" spans="1:14" ht="12.75">
      <c r="A8" s="42" t="s">
        <v>66</v>
      </c>
      <c r="B8" s="26">
        <v>1.35</v>
      </c>
      <c r="C8" s="26">
        <f>B8*2</f>
        <v>2.7000000000000002</v>
      </c>
      <c r="D8" s="26">
        <f>C8*21</f>
        <v>56.700000000000003</v>
      </c>
      <c r="E8" s="48" t="s">
        <v>55</v>
      </c>
      <c r="F8" s="53">
        <f>D8*0.9</f>
        <v>51.030000000000001</v>
      </c>
      <c r="G8" s="530"/>
      <c r="H8" s="528"/>
      <c r="I8" s="525"/>
      <c r="J8" s="528"/>
      <c r="K8" s="525"/>
      <c r="L8" s="528"/>
      <c r="M8" s="525"/>
      <c r="N8" s="528"/>
    </row>
    <row r="9" spans="1:14" ht="12.75">
      <c r="A9" s="42" t="s">
        <v>67</v>
      </c>
      <c r="B9" s="26">
        <v>1.80</v>
      </c>
      <c r="C9" s="26">
        <f>B9*2</f>
        <v>3.6000000000000001</v>
      </c>
      <c r="D9" s="26">
        <f>C9*21</f>
        <v>75.600000000000009</v>
      </c>
      <c r="E9" s="48" t="s">
        <v>55</v>
      </c>
      <c r="F9" s="53">
        <f>D9*0.9</f>
        <v>68.040000000000006</v>
      </c>
      <c r="G9" s="530">
        <f>AVERAGE(F9:F11)</f>
        <v>76.215999999999994</v>
      </c>
      <c r="H9" s="528">
        <f>G9*6</f>
        <v>457.29599999999994</v>
      </c>
      <c r="I9" s="525">
        <v>6055</v>
      </c>
      <c r="J9" s="528">
        <f>H9*I9</f>
        <v>2768927.2799999998</v>
      </c>
      <c r="K9" s="525">
        <v>6127</v>
      </c>
      <c r="L9" s="528">
        <f>H9*K9</f>
        <v>2801852.5919999997</v>
      </c>
      <c r="M9" s="525">
        <v>6147</v>
      </c>
      <c r="N9" s="528">
        <f>H9*M9</f>
        <v>2810998.5119999996</v>
      </c>
    </row>
    <row r="10" spans="1:14" ht="12.75">
      <c r="A10" s="45" t="s">
        <v>69</v>
      </c>
      <c r="B10" s="46">
        <v>2.15</v>
      </c>
      <c r="C10" s="46">
        <f>B10*2</f>
        <v>4.2999999999999998</v>
      </c>
      <c r="D10" s="46">
        <f>C10*21</f>
        <v>90.299999999999997</v>
      </c>
      <c r="E10" s="47" t="s">
        <v>56</v>
      </c>
      <c r="F10" s="52">
        <f>D10*0.8</f>
        <v>72.239999999999995</v>
      </c>
      <c r="G10" s="530"/>
      <c r="H10" s="528"/>
      <c r="I10" s="525"/>
      <c r="J10" s="528"/>
      <c r="K10" s="525"/>
      <c r="L10" s="528"/>
      <c r="M10" s="525"/>
      <c r="N10" s="528"/>
    </row>
    <row r="11" spans="1:14" ht="13.5" thickBot="1">
      <c r="A11" s="43" t="s">
        <v>68</v>
      </c>
      <c r="B11" s="44">
        <v>2.63</v>
      </c>
      <c r="C11" s="44">
        <f>B11*2</f>
        <v>5.2599999999999998</v>
      </c>
      <c r="D11" s="44">
        <f>C11*21</f>
        <v>110.45999999999999</v>
      </c>
      <c r="E11" s="49" t="s">
        <v>56</v>
      </c>
      <c r="F11" s="54">
        <f>D11*0.8</f>
        <v>88.367999999999995</v>
      </c>
      <c r="G11" s="531"/>
      <c r="H11" s="529"/>
      <c r="I11" s="526"/>
      <c r="J11" s="529"/>
      <c r="K11" s="526"/>
      <c r="L11" s="529"/>
      <c r="M11" s="526"/>
      <c r="N11" s="529"/>
    </row>
    <row r="12" spans="1:14" ht="12.75">
      <c r="A12" s="45" t="s">
        <v>70</v>
      </c>
      <c r="B12" s="46">
        <v>3.26</v>
      </c>
      <c r="C12" s="46">
        <f>B12*2</f>
        <v>6.5199999999999996</v>
      </c>
      <c r="D12" s="46">
        <f>C12*21</f>
        <v>136.91999999999999</v>
      </c>
      <c r="E12" s="47" t="s">
        <v>57</v>
      </c>
      <c r="F12" s="52">
        <f>D12*0.7</f>
        <v>95.84399999999998</v>
      </c>
      <c r="G12" s="567">
        <f>AVERAGE(F12:F13)</f>
        <v>105.86939999999999</v>
      </c>
      <c r="H12" s="559">
        <f>G12*6</f>
        <v>635.21639999999991</v>
      </c>
      <c r="I12" s="560">
        <v>214</v>
      </c>
      <c r="J12" s="537">
        <f>I12*H12</f>
        <v>135936.30959999998</v>
      </c>
      <c r="K12" s="558">
        <v>227</v>
      </c>
      <c r="L12" s="559">
        <f>K12*H12</f>
        <v>144194.12279999998</v>
      </c>
      <c r="M12" s="560">
        <v>238</v>
      </c>
      <c r="N12" s="537">
        <f>M12*H12</f>
        <v>151181.50319999998</v>
      </c>
    </row>
    <row r="13" spans="1:14" ht="13.5" thickBot="1">
      <c r="A13" s="43" t="s">
        <v>71</v>
      </c>
      <c r="B13" s="44">
        <v>4.20</v>
      </c>
      <c r="C13" s="44">
        <f>B13*2</f>
        <v>8.4000000000000004</v>
      </c>
      <c r="D13" s="44">
        <f>C13*21</f>
        <v>176.40000000000001</v>
      </c>
      <c r="E13" s="49" t="s">
        <v>73</v>
      </c>
      <c r="F13" s="54">
        <f>D13*0.657</f>
        <v>115.8948</v>
      </c>
      <c r="G13" s="568"/>
      <c r="H13" s="552"/>
      <c r="I13" s="554"/>
      <c r="J13" s="538"/>
      <c r="K13" s="540"/>
      <c r="L13" s="552"/>
      <c r="M13" s="554"/>
      <c r="N13" s="538"/>
    </row>
    <row r="14" spans="1:14" ht="12.75">
      <c r="A14" s="55" t="s">
        <v>72</v>
      </c>
      <c r="B14" s="561"/>
      <c r="C14" s="562"/>
      <c r="D14" s="562"/>
      <c r="E14" s="563"/>
      <c r="F14" s="56">
        <v>130</v>
      </c>
      <c r="G14" s="569">
        <f>AVERAGE(F14:F15)</f>
        <v>132.5</v>
      </c>
      <c r="H14" s="551">
        <f>G14*6</f>
        <v>795</v>
      </c>
      <c r="I14" s="553">
        <v>97</v>
      </c>
      <c r="J14" s="550">
        <f>I14*H14</f>
        <v>77115</v>
      </c>
      <c r="K14" s="539">
        <v>105</v>
      </c>
      <c r="L14" s="551">
        <f>K14*H14</f>
        <v>83475</v>
      </c>
      <c r="M14" s="553">
        <v>113</v>
      </c>
      <c r="N14" s="550">
        <f>M14*H14</f>
        <v>89835</v>
      </c>
    </row>
    <row r="15" spans="1:14" ht="13.5" thickBot="1">
      <c r="A15" s="57" t="s">
        <v>63</v>
      </c>
      <c r="B15" s="564"/>
      <c r="C15" s="565"/>
      <c r="D15" s="565"/>
      <c r="E15" s="566"/>
      <c r="F15" s="58">
        <v>135</v>
      </c>
      <c r="G15" s="570"/>
      <c r="H15" s="552"/>
      <c r="I15" s="554"/>
      <c r="J15" s="538"/>
      <c r="K15" s="540"/>
      <c r="L15" s="552"/>
      <c r="M15" s="554"/>
      <c r="N15" s="538"/>
    </row>
    <row r="16" ht="13.5" thickBot="1"/>
    <row r="17" spans="1:14" ht="13.5" thickBot="1">
      <c r="A17" s="120" t="s">
        <v>93</v>
      </c>
      <c r="B17" s="66"/>
      <c r="C17" s="67"/>
      <c r="D17" s="67"/>
      <c r="E17" s="67"/>
      <c r="F17" s="138"/>
      <c r="G17" s="95"/>
      <c r="H17" s="98"/>
      <c r="I17" s="162">
        <f t="shared" si="2" ref="I17:N17">SUM(I6:I15)</f>
        <v>19064</v>
      </c>
      <c r="J17" s="65">
        <f>SUM(J6:J15)</f>
        <v>5593093.7255999995</v>
      </c>
      <c r="K17" s="162">
        <f>SUM(K6:K15)</f>
        <v>19207</v>
      </c>
      <c r="L17" s="64">
        <f>SUM(L6:L15)</f>
        <v>5650918.4507999998</v>
      </c>
      <c r="M17" s="162">
        <f>SUM(M6:M15)</f>
        <v>19332</v>
      </c>
      <c r="N17" s="270">
        <f>SUM(N6:N15)</f>
        <v>5691096.1031999998</v>
      </c>
    </row>
  </sheetData>
  <sheetProtection/>
  <mergeCells count="45">
    <mergeCell ref="I14:I15"/>
    <mergeCell ref="B14:E14"/>
    <mergeCell ref="B15:E15"/>
    <mergeCell ref="G12:G13"/>
    <mergeCell ref="H12:H13"/>
    <mergeCell ref="G14:G15"/>
    <mergeCell ref="H14:H15"/>
    <mergeCell ref="H9:H11"/>
    <mergeCell ref="I6:I8"/>
    <mergeCell ref="L6:L8"/>
    <mergeCell ref="L9:L11"/>
    <mergeCell ref="J12:J13"/>
    <mergeCell ref="K9:K11"/>
    <mergeCell ref="I12:I13"/>
    <mergeCell ref="I9:I11"/>
    <mergeCell ref="J14:J15"/>
    <mergeCell ref="K6:K8"/>
    <mergeCell ref="L14:L15"/>
    <mergeCell ref="M14:M15"/>
    <mergeCell ref="N14:N15"/>
    <mergeCell ref="K4:L4"/>
    <mergeCell ref="M4:N4"/>
    <mergeCell ref="K12:K13"/>
    <mergeCell ref="L12:L13"/>
    <mergeCell ref="M12:M13"/>
    <mergeCell ref="N12:N13"/>
    <mergeCell ref="K14:K15"/>
    <mergeCell ref="A4:A5"/>
    <mergeCell ref="G4:G5"/>
    <mergeCell ref="F4:F5"/>
    <mergeCell ref="E4:E5"/>
    <mergeCell ref="D4:D5"/>
    <mergeCell ref="G6:G8"/>
    <mergeCell ref="C4:C5"/>
    <mergeCell ref="B4:B5"/>
    <mergeCell ref="M9:M11"/>
    <mergeCell ref="N6:N8"/>
    <mergeCell ref="N9:N11"/>
    <mergeCell ref="G9:G11"/>
    <mergeCell ref="I4:J4"/>
    <mergeCell ref="H4:H5"/>
    <mergeCell ref="J6:J8"/>
    <mergeCell ref="J9:J11"/>
    <mergeCell ref="M6:M8"/>
    <mergeCell ref="H6:H8"/>
  </mergeCells>
  <pageMargins left="0.75" right="0.75" top="1" bottom="1" header="0.4921259845" footer="0.4921259845"/>
  <pageSetup orientation="landscape" paperSize="9" scale="8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E11"/>
  <sheetViews>
    <sheetView workbookViewId="0" topLeftCell="A1">
      <selection pane="topLeft" activeCell="E7" sqref="E7"/>
    </sheetView>
  </sheetViews>
  <sheetFormatPr defaultRowHeight="12.75"/>
  <cols>
    <col min="2" max="2" width="15.1428571428571" customWidth="1"/>
    <col min="3" max="6" width="13.7142857142857" customWidth="1"/>
  </cols>
  <sheetData>
    <row r="2" spans="1:1" ht="12.75">
      <c r="A2" s="1" t="s">
        <v>220</v>
      </c>
    </row>
    <row r="3" ht="13.5" thickBot="1"/>
    <row r="4" spans="1:5" ht="13.5" thickBot="1">
      <c r="A4" s="571"/>
      <c r="B4" s="572"/>
      <c r="C4" s="332">
        <v>2013</v>
      </c>
      <c r="D4" s="341">
        <v>2014</v>
      </c>
      <c r="E4" s="346">
        <v>2015</v>
      </c>
    </row>
    <row r="5" spans="1:5" ht="12.75">
      <c r="A5" s="577" t="s">
        <v>223</v>
      </c>
      <c r="B5" s="428"/>
      <c r="C5" s="333">
        <v>1450</v>
      </c>
      <c r="D5" s="342">
        <v>1500</v>
      </c>
      <c r="E5" s="345">
        <v>1570</v>
      </c>
    </row>
    <row r="6" spans="1:5" ht="12.75">
      <c r="A6" s="573" t="s">
        <v>221</v>
      </c>
      <c r="B6" s="574"/>
      <c r="C6" s="334">
        <v>105</v>
      </c>
      <c r="D6" s="343">
        <v>124</v>
      </c>
      <c r="E6" s="277">
        <v>138</v>
      </c>
    </row>
    <row r="7" spans="1:5" ht="13.5" thickBot="1">
      <c r="A7" s="575"/>
      <c r="B7" s="576"/>
      <c r="C7" s="87"/>
      <c r="D7" s="344"/>
      <c r="E7" s="100"/>
    </row>
    <row r="8" spans="1:4" ht="13.5" thickBot="1">
      <c r="A8" s="82"/>
      <c r="B8" s="4"/>
      <c r="C8" s="4"/>
      <c r="D8" s="67"/>
    </row>
    <row r="9" spans="1:5" ht="12.75">
      <c r="A9" s="578" t="s">
        <v>222</v>
      </c>
      <c r="B9" s="486"/>
      <c r="C9" s="335"/>
      <c r="D9" s="336"/>
      <c r="E9" s="250"/>
    </row>
    <row r="10" spans="1:5" ht="12.75">
      <c r="A10" s="579"/>
      <c r="B10" s="580"/>
      <c r="C10" s="337">
        <f>C5*C6</f>
        <v>152250</v>
      </c>
      <c r="D10" s="338">
        <f>D5*D6</f>
        <v>186000</v>
      </c>
      <c r="E10" s="348">
        <f>E5*E6</f>
        <v>216660</v>
      </c>
    </row>
    <row r="11" spans="1:5" ht="13.5" thickBot="1">
      <c r="A11" s="581"/>
      <c r="B11" s="487"/>
      <c r="C11" s="339"/>
      <c r="D11" s="340"/>
      <c r="E11" s="347"/>
    </row>
  </sheetData>
  <sheetProtection/>
  <mergeCells count="4">
    <mergeCell ref="A4:B4"/>
    <mergeCell ref="A6:B7"/>
    <mergeCell ref="A5:B5"/>
    <mergeCell ref="A9:B11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J24"/>
  <sheetViews>
    <sheetView workbookViewId="0" topLeftCell="A1">
      <selection pane="topLeft" activeCell="G9" sqref="G9:G10"/>
    </sheetView>
  </sheetViews>
  <sheetFormatPr defaultRowHeight="12.75"/>
  <cols>
    <col min="1" max="1" width="12.5714285714286" customWidth="1"/>
    <col min="2" max="2" width="12.2857142857143" customWidth="1"/>
    <col min="3" max="9" width="15.7142857142857" customWidth="1"/>
  </cols>
  <sheetData>
    <row r="1" spans="1:6" ht="12.75">
      <c r="A1" s="1" t="s">
        <v>80</v>
      </c>
      <c r="F1" s="172"/>
    </row>
    <row r="2" spans="1:6" ht="12.75">
      <c r="A2" s="168"/>
      <c r="E2" s="103" t="s">
        <v>166</v>
      </c>
      <c r="F2" s="172"/>
    </row>
    <row r="3" spans="1:6" ht="12.75">
      <c r="A3" s="69" t="s">
        <v>81</v>
      </c>
      <c r="B3" s="3">
        <v>2012</v>
      </c>
      <c r="C3" s="3">
        <v>2013</v>
      </c>
      <c r="D3" s="3">
        <v>2014</v>
      </c>
      <c r="E3" s="18">
        <v>2015</v>
      </c>
      <c r="F3" s="172"/>
    </row>
    <row r="4" spans="1:6" ht="12.75">
      <c r="A4" s="68" t="s">
        <v>32</v>
      </c>
      <c r="B4" s="8">
        <f>'zakladné ukazovatele'!F68</f>
        <v>1034.27</v>
      </c>
      <c r="C4" s="8">
        <f>'zakladné ukazovatele'!M68</f>
        <v>1057.24</v>
      </c>
      <c r="D4" s="8">
        <f>'zakladné ukazovatele'!F83</f>
        <v>1099.51</v>
      </c>
      <c r="E4" s="8">
        <f>'zakladné ukazovatele'!M97</f>
        <v>1148.9776000000002</v>
      </c>
      <c r="F4" s="172"/>
    </row>
    <row r="5" spans="6:6" ht="13.5" thickBot="1">
      <c r="F5" s="172"/>
    </row>
    <row r="6" spans="1:5" ht="12.75">
      <c r="A6" s="394" t="s">
        <v>166</v>
      </c>
      <c r="B6" s="395"/>
      <c r="C6" s="63">
        <v>2013</v>
      </c>
      <c r="D6" s="137">
        <v>2014</v>
      </c>
      <c r="E6" s="397">
        <v>2015</v>
      </c>
    </row>
    <row r="7" spans="1:5" ht="12.75">
      <c r="A7" s="392" t="s">
        <v>45</v>
      </c>
      <c r="B7" s="393"/>
      <c r="C7" s="23"/>
      <c r="D7" s="126"/>
      <c r="E7" s="202"/>
    </row>
    <row r="8" spans="1:10" ht="12.75">
      <c r="A8" s="183" t="s">
        <v>181</v>
      </c>
      <c r="B8" s="174"/>
      <c r="C8" s="222">
        <f>4*C4</f>
        <v>4228.96</v>
      </c>
      <c r="D8" s="208">
        <f>4*D4</f>
        <v>4398.04</v>
      </c>
      <c r="E8" s="215">
        <f>4*E4</f>
        <v>4595.9104000000007</v>
      </c>
      <c r="J8" s="41"/>
    </row>
    <row r="9" spans="1:10" ht="12.75">
      <c r="A9" s="183"/>
      <c r="B9" s="174"/>
      <c r="C9" s="222"/>
      <c r="D9" s="208"/>
      <c r="E9" s="215"/>
      <c r="J9" s="41"/>
    </row>
    <row r="10" spans="1:10" ht="12.75">
      <c r="A10" s="392" t="s">
        <v>46</v>
      </c>
      <c r="B10" s="393"/>
      <c r="C10" s="209"/>
      <c r="D10" s="208"/>
      <c r="E10" s="215"/>
      <c r="J10" s="41"/>
    </row>
    <row r="11" spans="1:10" ht="12.75">
      <c r="A11" s="183" t="s">
        <v>201</v>
      </c>
      <c r="B11" s="174"/>
      <c r="C11" s="222">
        <f>4.8*C4</f>
        <v>5074.7519999999995</v>
      </c>
      <c r="D11" s="208">
        <f>4.8*D4</f>
        <v>5277.6480000000001</v>
      </c>
      <c r="E11" s="215">
        <f>4.8*E4</f>
        <v>5515.0924800000003</v>
      </c>
      <c r="J11" s="41"/>
    </row>
    <row r="12" spans="1:10" ht="12.75">
      <c r="A12" s="186"/>
      <c r="B12" s="174"/>
      <c r="C12" s="222"/>
      <c r="D12" s="208"/>
      <c r="E12" s="215"/>
      <c r="J12" s="41"/>
    </row>
    <row r="13" spans="1:10" ht="12.75">
      <c r="A13" s="392" t="s">
        <v>47</v>
      </c>
      <c r="B13" s="393"/>
      <c r="C13" s="209"/>
      <c r="D13" s="208"/>
      <c r="E13" s="215"/>
      <c r="J13" s="41"/>
    </row>
    <row r="14" spans="1:10" ht="12.75">
      <c r="A14" s="183" t="s">
        <v>202</v>
      </c>
      <c r="B14" s="174"/>
      <c r="C14" s="222">
        <f>5.2*C4</f>
        <v>5497.6480000000001</v>
      </c>
      <c r="D14" s="208">
        <f>5.2*D4</f>
        <v>5717.4520000000002</v>
      </c>
      <c r="E14" s="215">
        <f>5.2*E4</f>
        <v>5974.6835200000014</v>
      </c>
      <c r="J14" s="41"/>
    </row>
    <row r="15" spans="1:5" ht="13.5" thickBot="1">
      <c r="A15" s="185"/>
      <c r="B15" s="83"/>
      <c r="C15" s="207"/>
      <c r="D15" s="210"/>
      <c r="E15" s="216"/>
    </row>
    <row r="16" spans="1:10" ht="13.5" thickBot="1">
      <c r="A16" s="66" t="s">
        <v>84</v>
      </c>
      <c r="B16" s="67"/>
      <c r="C16" s="206">
        <f>AVERAGE(C8,C11,C14)</f>
        <v>4933.7866666666669</v>
      </c>
      <c r="D16" s="206">
        <f>AVERAGE(D8,D11,D14)</f>
        <v>5131.0466666666662</v>
      </c>
      <c r="E16" s="217">
        <f>AVERAGE(E8,E11,E14)</f>
        <v>5361.8954666666677</v>
      </c>
      <c r="J16" s="41"/>
    </row>
    <row r="17" spans="1:5" ht="13.5" thickBot="1">
      <c r="A17" s="82"/>
      <c r="B17" s="4"/>
      <c r="C17" s="92"/>
      <c r="D17" s="92"/>
      <c r="E17" s="199"/>
    </row>
    <row r="18" spans="1:5" ht="12.75" customHeight="1">
      <c r="A18" s="461" t="s">
        <v>82</v>
      </c>
      <c r="B18" s="462"/>
      <c r="C18" s="163"/>
      <c r="D18" s="163"/>
      <c r="E18" s="200"/>
    </row>
    <row r="19" spans="1:5" ht="13.5" thickBot="1">
      <c r="A19" s="463"/>
      <c r="B19" s="464"/>
      <c r="C19" s="164">
        <v>1926</v>
      </c>
      <c r="D19" s="164">
        <v>1873</v>
      </c>
      <c r="E19" s="201">
        <v>1821</v>
      </c>
    </row>
    <row r="20" spans="1:5" ht="13.5" thickBot="1">
      <c r="A20" s="82"/>
      <c r="B20" s="4"/>
      <c r="C20" s="92"/>
      <c r="D20" s="92"/>
      <c r="E20" s="199"/>
    </row>
    <row r="21" spans="1:5" ht="12.75" customHeight="1">
      <c r="A21" s="461" t="s">
        <v>168</v>
      </c>
      <c r="B21" s="462"/>
      <c r="C21" s="157"/>
      <c r="D21" s="158"/>
      <c r="E21" s="398"/>
    </row>
    <row r="22" spans="1:5" ht="13.5" thickBot="1">
      <c r="A22" s="463"/>
      <c r="B22" s="464"/>
      <c r="C22" s="213">
        <f>C19*C16</f>
        <v>9502473.120000001</v>
      </c>
      <c r="D22" s="214">
        <f>D19*D16</f>
        <v>9610450.4066666663</v>
      </c>
      <c r="E22" s="251">
        <f>E19*E16</f>
        <v>9764011.6448000018</v>
      </c>
    </row>
    <row r="23" spans="6:6" ht="12.75">
      <c r="F23" s="172"/>
    </row>
    <row r="24" spans="6:6" ht="12.75">
      <c r="F24" s="172"/>
    </row>
  </sheetData>
  <sheetProtection/>
  <mergeCells count="2">
    <mergeCell ref="A18:B19"/>
    <mergeCell ref="A21:B22"/>
  </mergeCells>
  <pageMargins left="0.75" right="0.75" top="1" bottom="1" header="0.4921259845" footer="0.4921259845"/>
  <pageSetup orientation="landscape" paperSize="9" scale="97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T29"/>
  <sheetViews>
    <sheetView workbookViewId="0" topLeftCell="A4">
      <selection pane="topLeft" activeCell="J14" sqref="J14"/>
    </sheetView>
  </sheetViews>
  <sheetFormatPr defaultRowHeight="12.75"/>
  <cols>
    <col min="1" max="1" width="11.7142857142857" customWidth="1"/>
    <col min="2" max="3" width="9.71428571428571" customWidth="1"/>
    <col min="4" max="4" width="12.5714285714286" customWidth="1"/>
    <col min="5" max="5" width="9.71428571428571" customWidth="1"/>
    <col min="6" max="6" width="13.7142857142857" customWidth="1"/>
    <col min="7" max="7" width="3.85714285714286" customWidth="1"/>
    <col min="8" max="10" width="9.71428571428571" customWidth="1"/>
    <col min="11" max="11" width="12.4285714285714" customWidth="1"/>
    <col min="12" max="12" width="9.71428571428571" customWidth="1"/>
    <col min="13" max="13" width="13.7142857142857" customWidth="1"/>
    <col min="14" max="17" width="9.71428571428571" customWidth="1"/>
    <col min="18" max="18" width="13.7142857142857" customWidth="1"/>
  </cols>
  <sheetData>
    <row r="2" spans="1:1" ht="12.75">
      <c r="A2" s="1" t="s">
        <v>83</v>
      </c>
    </row>
    <row r="3" spans="5:5" ht="12.75">
      <c r="E3" s="103" t="s">
        <v>166</v>
      </c>
    </row>
    <row r="4" spans="1:5" ht="12.75">
      <c r="A4" s="32" t="s">
        <v>97</v>
      </c>
      <c r="B4" s="3">
        <v>2012</v>
      </c>
      <c r="C4" s="3">
        <v>2013</v>
      </c>
      <c r="D4" s="3">
        <v>2014</v>
      </c>
      <c r="E4" s="3">
        <v>2015</v>
      </c>
    </row>
    <row r="5" spans="1:5" ht="12.75">
      <c r="A5" s="3" t="s">
        <v>31</v>
      </c>
      <c r="B5" s="8">
        <f>'zakladné ukazovatele'!M53</f>
        <v>442.34000000000003</v>
      </c>
      <c r="C5" s="8">
        <f>'zakladné ukazovatele'!T38</f>
        <v>456.53999999999996</v>
      </c>
      <c r="D5" s="8">
        <f>'zakladné ukazovatele'!T53</f>
        <v>470.22099999999995</v>
      </c>
      <c r="E5" s="8">
        <f>'zakladné ukazovatele'!T97</f>
        <v>484.32592999999997</v>
      </c>
    </row>
    <row r="6" spans="1:20" ht="12.75">
      <c r="A6" s="3" t="s">
        <v>32</v>
      </c>
      <c r="B6" s="8">
        <f>'zakladné ukazovatele'!F68</f>
        <v>1034.27</v>
      </c>
      <c r="C6" s="8">
        <f>'zakladné ukazovatele'!M68</f>
        <v>1057.24</v>
      </c>
      <c r="D6" s="8">
        <f>'zakladné ukazovatele'!F83</f>
        <v>1099.51</v>
      </c>
      <c r="E6" s="8">
        <f>'zakladné ukazovatele'!M97</f>
        <v>1148.9776000000002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2.75">
      <c r="A7" s="28" t="s">
        <v>149</v>
      </c>
      <c r="B7" s="224">
        <f>'zakladné ukazovatele'!J6</f>
        <v>765</v>
      </c>
      <c r="C7" s="224">
        <f>'zakladné ukazovatele'!J7</f>
        <v>782</v>
      </c>
      <c r="D7" s="224">
        <f>'zakladné ukazovatele'!J8</f>
        <v>813.27999999999997</v>
      </c>
      <c r="E7" s="224">
        <f>'zakladné ukazovatele'!J9</f>
        <v>849.87760000000003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6:20" ht="13.5" thickBot="1">
      <c r="F8" s="103" t="s">
        <v>166</v>
      </c>
      <c r="G8" s="28"/>
      <c r="H8" s="28"/>
      <c r="I8" s="28"/>
      <c r="J8" s="28"/>
      <c r="K8" s="28"/>
      <c r="L8" s="28"/>
      <c r="M8" s="296"/>
      <c r="N8" s="28"/>
      <c r="O8" s="28"/>
      <c r="P8" s="28"/>
      <c r="Q8" s="28"/>
      <c r="R8" s="28"/>
      <c r="S8" s="28"/>
      <c r="T8" s="28"/>
    </row>
    <row r="9" spans="1:20" ht="12.75">
      <c r="A9" s="281"/>
      <c r="B9" s="286"/>
      <c r="C9" s="597">
        <v>2013</v>
      </c>
      <c r="D9" s="598"/>
      <c r="E9" s="598"/>
      <c r="F9" s="599"/>
      <c r="G9" s="175"/>
      <c r="H9" s="4"/>
      <c r="I9" s="4"/>
      <c r="J9" s="4"/>
      <c r="K9" s="4"/>
      <c r="L9" s="4"/>
      <c r="M9" s="4"/>
      <c r="N9" s="175"/>
      <c r="O9" s="175"/>
      <c r="P9" s="175"/>
      <c r="Q9" s="175"/>
      <c r="R9" s="175"/>
      <c r="S9" s="28"/>
      <c r="T9" s="28"/>
    </row>
    <row r="10" spans="1:20" ht="13.5" thickBot="1">
      <c r="A10" s="282"/>
      <c r="B10" s="287"/>
      <c r="C10" s="289" t="s">
        <v>112</v>
      </c>
      <c r="D10" s="283" t="s">
        <v>232</v>
      </c>
      <c r="E10" s="284" t="s">
        <v>48</v>
      </c>
      <c r="F10" s="285" t="s">
        <v>49</v>
      </c>
      <c r="G10" s="278"/>
      <c r="H10" s="4"/>
      <c r="I10" s="4"/>
      <c r="J10" s="4"/>
      <c r="K10" s="4"/>
      <c r="L10" s="4"/>
      <c r="M10" s="4"/>
      <c r="N10" s="175"/>
      <c r="O10" s="278"/>
      <c r="P10" s="278"/>
      <c r="Q10" s="278"/>
      <c r="R10" s="175"/>
      <c r="S10" s="28"/>
      <c r="T10" s="28"/>
    </row>
    <row r="11" spans="1:20" ht="12.75" customHeight="1">
      <c r="A11" s="585" t="s">
        <v>203</v>
      </c>
      <c r="B11" s="586"/>
      <c r="C11" s="276"/>
      <c r="D11" s="246"/>
      <c r="E11" s="246"/>
      <c r="F11" s="277"/>
      <c r="G11" s="28"/>
      <c r="H11" s="4"/>
      <c r="I11" s="4"/>
      <c r="J11" s="4"/>
      <c r="K11" s="4"/>
      <c r="L11" s="4"/>
      <c r="M11" s="4"/>
      <c r="N11" s="28"/>
      <c r="O11" s="28"/>
      <c r="P11" s="28"/>
      <c r="Q11" s="28"/>
      <c r="R11" s="28"/>
      <c r="S11" s="28"/>
      <c r="T11" s="28"/>
    </row>
    <row r="12" spans="1:20" ht="12.75">
      <c r="A12" s="587"/>
      <c r="B12" s="588"/>
      <c r="C12" s="291">
        <f>'zakladné ukazovatele'!F126</f>
        <v>101.94999999999999</v>
      </c>
      <c r="D12" s="294">
        <f>'zakladné ukazovatele'!F140</f>
        <v>141.66</v>
      </c>
      <c r="E12" s="294">
        <f>AVERAGE(C12:D12)</f>
        <v>121.80499999999999</v>
      </c>
      <c r="F12" s="295">
        <f>E12*12</f>
        <v>1461.6599999999999</v>
      </c>
      <c r="G12" s="239"/>
      <c r="H12" s="4"/>
      <c r="I12" s="4"/>
      <c r="J12" s="4"/>
      <c r="K12" s="4"/>
      <c r="L12" s="4"/>
      <c r="M12" s="4"/>
      <c r="N12" s="239"/>
      <c r="O12" s="239"/>
      <c r="P12" s="239"/>
      <c r="Q12" s="239"/>
      <c r="R12" s="239"/>
      <c r="S12" s="28"/>
      <c r="T12" s="28"/>
    </row>
    <row r="13" spans="1:20" ht="12.75" customHeight="1">
      <c r="A13" s="595" t="s">
        <v>86</v>
      </c>
      <c r="B13" s="596"/>
      <c r="C13" s="290"/>
      <c r="D13" s="292"/>
      <c r="E13" s="292"/>
      <c r="F13" s="293"/>
      <c r="G13" s="239"/>
      <c r="H13" s="4"/>
      <c r="I13" s="4"/>
      <c r="J13" s="4"/>
      <c r="K13" s="4"/>
      <c r="L13" s="4"/>
      <c r="M13" s="4"/>
      <c r="N13" s="239"/>
      <c r="O13" s="239"/>
      <c r="P13" s="239"/>
      <c r="Q13" s="239"/>
      <c r="R13" s="239"/>
      <c r="S13" s="28"/>
      <c r="T13" s="28"/>
    </row>
    <row r="14" spans="1:20" ht="27" customHeight="1">
      <c r="A14" s="595"/>
      <c r="B14" s="596"/>
      <c r="C14" s="291"/>
      <c r="D14" s="294"/>
      <c r="E14" s="297">
        <v>642</v>
      </c>
      <c r="F14" s="295"/>
      <c r="G14" s="239"/>
      <c r="H14" s="4"/>
      <c r="I14" s="4"/>
      <c r="J14" s="4"/>
      <c r="K14" s="4"/>
      <c r="L14" s="4"/>
      <c r="M14" s="4"/>
      <c r="N14" s="239"/>
      <c r="O14" s="239"/>
      <c r="P14" s="239"/>
      <c r="Q14" s="239"/>
      <c r="R14" s="239"/>
      <c r="S14" s="28"/>
      <c r="T14" s="28"/>
    </row>
    <row r="15" spans="1:20" ht="13.5" customHeight="1">
      <c r="A15" s="600" t="s">
        <v>167</v>
      </c>
      <c r="B15" s="601"/>
      <c r="C15" s="288"/>
      <c r="D15" s="279"/>
      <c r="E15" s="279"/>
      <c r="F15" s="280"/>
      <c r="G15" s="239"/>
      <c r="H15" s="4"/>
      <c r="I15" s="4"/>
      <c r="J15" s="4"/>
      <c r="K15" s="4"/>
      <c r="L15" s="4"/>
      <c r="M15" s="4"/>
      <c r="N15" s="239"/>
      <c r="O15" s="239"/>
      <c r="P15" s="239"/>
      <c r="Q15" s="239"/>
      <c r="R15" s="239"/>
      <c r="S15" s="28"/>
      <c r="T15" s="28"/>
    </row>
    <row r="16" spans="1:20" ht="12.75" customHeight="1">
      <c r="A16" s="602"/>
      <c r="B16" s="603"/>
      <c r="C16" s="290"/>
      <c r="D16" s="292"/>
      <c r="E16" s="292"/>
      <c r="F16" s="293"/>
      <c r="G16" s="239"/>
      <c r="H16" s="4"/>
      <c r="I16" s="4"/>
      <c r="J16" s="4"/>
      <c r="K16" s="4"/>
      <c r="L16" s="4"/>
      <c r="M16" s="4"/>
      <c r="N16" s="239"/>
      <c r="O16" s="239"/>
      <c r="P16" s="239"/>
      <c r="Q16" s="239"/>
      <c r="R16" s="239"/>
      <c r="S16" s="28"/>
      <c r="T16" s="28"/>
    </row>
    <row r="17" spans="1:20" ht="13.5" thickBot="1">
      <c r="A17" s="604"/>
      <c r="B17" s="605"/>
      <c r="C17" s="409"/>
      <c r="D17" s="410"/>
      <c r="E17" s="410"/>
      <c r="F17" s="411">
        <f>E14*F12</f>
        <v>938385.71999999986</v>
      </c>
      <c r="G17" s="239"/>
      <c r="H17" s="4"/>
      <c r="I17" s="4"/>
      <c r="J17" s="4"/>
      <c r="K17" s="4"/>
      <c r="L17" s="4"/>
      <c r="M17" s="4"/>
      <c r="N17" s="239"/>
      <c r="O17" s="239"/>
      <c r="P17" s="239"/>
      <c r="Q17" s="239"/>
      <c r="R17" s="239"/>
      <c r="S17" s="28"/>
      <c r="T17" s="28"/>
    </row>
    <row r="18" spans="1:20" ht="12.75" customHeight="1">
      <c r="A18" s="396"/>
      <c r="B18" s="396"/>
      <c r="C18" s="239"/>
      <c r="D18" s="239"/>
      <c r="E18" s="239"/>
      <c r="F18" s="239"/>
      <c r="G18" s="239"/>
      <c r="H18" s="399"/>
      <c r="I18" s="399"/>
      <c r="J18" s="239"/>
      <c r="K18" s="239"/>
      <c r="L18" s="237"/>
      <c r="M18" s="239"/>
      <c r="N18" s="239"/>
      <c r="O18" s="239"/>
      <c r="P18" s="239"/>
      <c r="Q18" s="239"/>
      <c r="R18" s="239"/>
      <c r="S18" s="28"/>
      <c r="T18" s="28"/>
    </row>
    <row r="19" spans="6:13" ht="13.5" thickBot="1">
      <c r="F19" s="103" t="s">
        <v>166</v>
      </c>
      <c r="M19" s="103" t="s">
        <v>166</v>
      </c>
    </row>
    <row r="20" spans="1:13" ht="12.75">
      <c r="A20" s="281"/>
      <c r="B20" s="286"/>
      <c r="C20" s="615">
        <v>2014</v>
      </c>
      <c r="D20" s="616"/>
      <c r="E20" s="616"/>
      <c r="F20" s="617"/>
      <c r="H20" s="281"/>
      <c r="I20" s="286"/>
      <c r="J20" s="582">
        <v>2015</v>
      </c>
      <c r="K20" s="583"/>
      <c r="L20" s="583"/>
      <c r="M20" s="584"/>
    </row>
    <row r="21" spans="1:13" ht="13.5" thickBot="1">
      <c r="A21" s="282"/>
      <c r="B21" s="287"/>
      <c r="C21" s="289" t="s">
        <v>112</v>
      </c>
      <c r="D21" s="283" t="s">
        <v>232</v>
      </c>
      <c r="E21" s="284" t="s">
        <v>48</v>
      </c>
      <c r="F21" s="285" t="s">
        <v>49</v>
      </c>
      <c r="H21" s="282"/>
      <c r="I21" s="287"/>
      <c r="J21" s="289" t="s">
        <v>112</v>
      </c>
      <c r="K21" s="283" t="s">
        <v>232</v>
      </c>
      <c r="L21" s="284" t="s">
        <v>48</v>
      </c>
      <c r="M21" s="285" t="s">
        <v>49</v>
      </c>
    </row>
    <row r="22" spans="1:13" ht="12.75">
      <c r="A22" s="585" t="s">
        <v>203</v>
      </c>
      <c r="B22" s="586"/>
      <c r="C22" s="276"/>
      <c r="D22" s="246"/>
      <c r="E22" s="246"/>
      <c r="F22" s="277"/>
      <c r="H22" s="585" t="s">
        <v>203</v>
      </c>
      <c r="I22" s="586"/>
      <c r="J22" s="276"/>
      <c r="K22" s="246"/>
      <c r="L22" s="246"/>
      <c r="M22" s="277"/>
    </row>
    <row r="23" spans="1:13" ht="12.75">
      <c r="A23" s="587"/>
      <c r="B23" s="588"/>
      <c r="C23" s="291">
        <f>'zakladné ukazovatele'!M126</f>
        <v>104.99999999999999</v>
      </c>
      <c r="D23" s="294">
        <f>'zakladné ukazovatele'!M140</f>
        <v>147.31</v>
      </c>
      <c r="E23" s="294">
        <f>AVERAGE(C23:D23)</f>
        <v>126.155</v>
      </c>
      <c r="F23" s="295">
        <f>E23*12</f>
        <v>1513.8600000000001</v>
      </c>
      <c r="H23" s="587"/>
      <c r="I23" s="588"/>
      <c r="J23" s="291">
        <f>'zakladné ukazovatele'!T126</f>
        <v>108.14999999999999</v>
      </c>
      <c r="K23" s="294">
        <f>'zakladné ukazovatele'!T140</f>
        <v>153.94</v>
      </c>
      <c r="L23" s="294">
        <f>AVERAGE(J23:K23)</f>
        <v>131.04499999999999</v>
      </c>
      <c r="M23" s="295">
        <f>L23*12</f>
        <v>1572.54</v>
      </c>
    </row>
    <row r="24" spans="1:13" ht="12.75">
      <c r="A24" s="589" t="s">
        <v>86</v>
      </c>
      <c r="B24" s="590"/>
      <c r="C24" s="290"/>
      <c r="D24" s="292"/>
      <c r="E24" s="292"/>
      <c r="F24" s="293"/>
      <c r="H24" s="589" t="s">
        <v>86</v>
      </c>
      <c r="I24" s="590"/>
      <c r="J24" s="290"/>
      <c r="K24" s="292"/>
      <c r="L24" s="292"/>
      <c r="M24" s="293"/>
    </row>
    <row r="25" spans="1:13" ht="12.75">
      <c r="A25" s="591"/>
      <c r="B25" s="592"/>
      <c r="C25" s="273"/>
      <c r="D25" s="274"/>
      <c r="E25" s="274"/>
      <c r="F25" s="275"/>
      <c r="H25" s="591"/>
      <c r="I25" s="592"/>
      <c r="J25" s="273"/>
      <c r="K25" s="274"/>
      <c r="L25" s="274"/>
      <c r="M25" s="275"/>
    </row>
    <row r="26" spans="1:13" ht="12.75">
      <c r="A26" s="593"/>
      <c r="B26" s="594"/>
      <c r="C26" s="291"/>
      <c r="D26" s="294"/>
      <c r="E26" s="297">
        <v>719</v>
      </c>
      <c r="F26" s="295"/>
      <c r="H26" s="593"/>
      <c r="I26" s="594"/>
      <c r="J26" s="291"/>
      <c r="K26" s="294"/>
      <c r="L26" s="297">
        <v>784</v>
      </c>
      <c r="M26" s="295"/>
    </row>
    <row r="27" spans="1:13" ht="12.75">
      <c r="A27" s="606" t="s">
        <v>167</v>
      </c>
      <c r="B27" s="607"/>
      <c r="C27" s="299"/>
      <c r="D27" s="298"/>
      <c r="E27" s="298"/>
      <c r="F27" s="300"/>
      <c r="H27" s="606" t="s">
        <v>204</v>
      </c>
      <c r="I27" s="612"/>
      <c r="J27" s="299"/>
      <c r="K27" s="298"/>
      <c r="L27" s="298"/>
      <c r="M27" s="300"/>
    </row>
    <row r="28" spans="1:13" ht="12.75">
      <c r="A28" s="608"/>
      <c r="B28" s="609"/>
      <c r="C28" s="299"/>
      <c r="D28" s="298"/>
      <c r="E28" s="298"/>
      <c r="F28" s="301">
        <f>E26*F23</f>
        <v>1088465.3400000001</v>
      </c>
      <c r="H28" s="608"/>
      <c r="I28" s="613"/>
      <c r="J28" s="299"/>
      <c r="K28" s="298"/>
      <c r="L28" s="298"/>
      <c r="M28" s="303">
        <f>L26*M23</f>
        <v>1232871.3599999999</v>
      </c>
    </row>
    <row r="29" spans="1:13" ht="13.5" thickBot="1">
      <c r="A29" s="610"/>
      <c r="B29" s="611"/>
      <c r="C29" s="43"/>
      <c r="D29" s="110"/>
      <c r="E29" s="110"/>
      <c r="F29" s="302"/>
      <c r="H29" s="610"/>
      <c r="I29" s="614"/>
      <c r="J29" s="43"/>
      <c r="K29" s="110"/>
      <c r="L29" s="110"/>
      <c r="M29" s="302"/>
    </row>
  </sheetData>
  <sheetProtection/>
  <mergeCells count="12">
    <mergeCell ref="A27:B29"/>
    <mergeCell ref="H27:I29"/>
    <mergeCell ref="C20:F20"/>
    <mergeCell ref="A22:B23"/>
    <mergeCell ref="A24:B26"/>
    <mergeCell ref="J20:M20"/>
    <mergeCell ref="H22:I23"/>
    <mergeCell ref="H24:I26"/>
    <mergeCell ref="A11:B12"/>
    <mergeCell ref="A13:B14"/>
    <mergeCell ref="C9:F9"/>
    <mergeCell ref="A15:B17"/>
  </mergeCells>
  <pageMargins left="0.75" right="0.75" top="1" bottom="1" header="0.4921259845" footer="0.4921259845"/>
  <pageSetup orientation="landscape" paperSize="9" scale="76" r:id="rId1"/>
  <headerFooter alignWithMargins="0"/>
  <rowBreaks count="1" manualBreakCount="1">
    <brk id="29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F39"/>
  <sheetViews>
    <sheetView workbookViewId="0" topLeftCell="A1">
      <selection pane="topLeft" activeCell="E28" sqref="E28"/>
    </sheetView>
  </sheetViews>
  <sheetFormatPr defaultRowHeight="12.75"/>
  <cols>
    <col min="1" max="2" width="11.7142857142857" customWidth="1"/>
    <col min="3" max="5" width="15.7142857142857" customWidth="1"/>
    <col min="6" max="6" width="11.8571428571429" customWidth="1"/>
    <col min="7" max="9" width="15.7142857142857" customWidth="1"/>
  </cols>
  <sheetData>
    <row r="1" spans="1:1" ht="12.75">
      <c r="A1" s="1" t="s">
        <v>205</v>
      </c>
    </row>
    <row r="2" spans="1:1" ht="12.75">
      <c r="A2" s="1"/>
    </row>
    <row r="3" spans="1:5" ht="12.75">
      <c r="A3" s="69" t="s">
        <v>180</v>
      </c>
      <c r="B3" s="3">
        <v>2012</v>
      </c>
      <c r="C3" s="3">
        <v>2013</v>
      </c>
      <c r="D3" s="3">
        <v>2014</v>
      </c>
      <c r="E3" s="3">
        <v>2015</v>
      </c>
    </row>
    <row r="4" spans="1:5" ht="12.75">
      <c r="A4" s="194" t="s">
        <v>171</v>
      </c>
      <c r="B4" s="8">
        <f>'zakladné ukazovatele'!J6</f>
        <v>765</v>
      </c>
      <c r="C4" s="8">
        <f>'zakladné ukazovatele'!J7</f>
        <v>782</v>
      </c>
      <c r="D4" s="8">
        <f>'zakladné ukazovatele'!J8</f>
        <v>813.27999999999997</v>
      </c>
      <c r="E4" s="8">
        <f>'zakladné ukazovatele'!J9</f>
        <v>849.87760000000003</v>
      </c>
    </row>
    <row r="5" spans="1:5" ht="12.75">
      <c r="A5" s="194" t="s">
        <v>179</v>
      </c>
      <c r="B5" s="8">
        <f>'zakladné ukazovatele'!F68</f>
        <v>1034.27</v>
      </c>
      <c r="C5" s="8">
        <f>'zakladné ukazovatele'!M68</f>
        <v>1057.24</v>
      </c>
      <c r="D5" s="8">
        <f>'zakladné ukazovatele'!F83</f>
        <v>1099.51</v>
      </c>
      <c r="E5" s="8">
        <f>'zakladné ukazovatele'!M97</f>
        <v>1148.9776000000002</v>
      </c>
    </row>
    <row r="6" spans="1:5" ht="12.75">
      <c r="A6" s="71"/>
      <c r="B6" s="211"/>
      <c r="C6" s="211"/>
      <c r="D6" s="211"/>
      <c r="E6" s="211"/>
    </row>
    <row r="7" spans="1:5" ht="13.5" thickBot="1">
      <c r="A7" s="29"/>
      <c r="B7" s="28"/>
      <c r="C7" s="28"/>
      <c r="E7" s="400" t="s">
        <v>166</v>
      </c>
    </row>
    <row r="8" spans="1:5" ht="13.5" thickBot="1">
      <c r="A8" s="66" t="s">
        <v>166</v>
      </c>
      <c r="B8" s="67"/>
      <c r="C8" s="229">
        <v>2013</v>
      </c>
      <c r="D8" s="127">
        <v>2014</v>
      </c>
      <c r="E8" s="234">
        <v>2015</v>
      </c>
    </row>
    <row r="9" spans="1:5" ht="12.75">
      <c r="A9" s="73" t="s">
        <v>178</v>
      </c>
      <c r="B9" s="4"/>
      <c r="C9" s="235"/>
      <c r="D9" s="235"/>
      <c r="E9" s="235"/>
    </row>
    <row r="10" spans="1:5" ht="12.75">
      <c r="A10" s="82" t="s">
        <v>206</v>
      </c>
      <c r="B10" s="4"/>
      <c r="C10" s="219">
        <f>3.2*C5</f>
        <v>3383.1680000000001</v>
      </c>
      <c r="D10" s="219">
        <f>3.2*D5</f>
        <v>3518.4320000000002</v>
      </c>
      <c r="E10" s="219">
        <f>3.2*E5</f>
        <v>3676.7283200000006</v>
      </c>
    </row>
    <row r="11" spans="1:5" ht="12.75">
      <c r="A11" s="390" t="s">
        <v>46</v>
      </c>
      <c r="B11" s="391"/>
      <c r="C11" s="91"/>
      <c r="D11" s="91"/>
      <c r="E11" s="92"/>
    </row>
    <row r="12" spans="1:5" ht="12.75">
      <c r="A12" s="72" t="s">
        <v>184</v>
      </c>
      <c r="B12" s="70"/>
      <c r="C12" s="219">
        <f>4*C5</f>
        <v>4228.96</v>
      </c>
      <c r="D12" s="219">
        <f>4*D5</f>
        <v>4398.04</v>
      </c>
      <c r="E12" s="219">
        <f>4*E5</f>
        <v>4595.9104000000007</v>
      </c>
    </row>
    <row r="13" spans="1:5" ht="12.75">
      <c r="A13" s="73" t="s">
        <v>47</v>
      </c>
      <c r="B13" s="71"/>
      <c r="C13" s="212"/>
      <c r="D13" s="212"/>
      <c r="E13" s="210"/>
    </row>
    <row r="14" spans="1:5" ht="13.5" thickBot="1">
      <c r="A14" s="74" t="s">
        <v>207</v>
      </c>
      <c r="B14" s="381"/>
      <c r="C14" s="223">
        <f>4.8*C5</f>
        <v>5074.7519999999995</v>
      </c>
      <c r="D14" s="223">
        <f>4.8*D5</f>
        <v>5277.6480000000001</v>
      </c>
      <c r="E14" s="210">
        <f>4.8*E5</f>
        <v>5515.0924800000003</v>
      </c>
    </row>
    <row r="15" spans="1:5" ht="13.5" thickBot="1">
      <c r="A15" s="82"/>
      <c r="B15" s="4"/>
      <c r="C15" s="210"/>
      <c r="D15" s="210"/>
      <c r="E15" s="206"/>
    </row>
    <row r="16" spans="1:5" ht="25.5" customHeight="1" thickBot="1">
      <c r="A16" s="465" t="s">
        <v>185</v>
      </c>
      <c r="B16" s="466"/>
      <c r="C16" s="206">
        <f>AVERAGE(C11:C14)</f>
        <v>4651.8559999999998</v>
      </c>
      <c r="D16" s="206">
        <f>AVERAGE(D11:D14)</f>
        <v>4837.8440000000001</v>
      </c>
      <c r="E16" s="210">
        <f>AVERAGE(E12:E14)</f>
        <v>5055.50144</v>
      </c>
    </row>
    <row r="17" spans="1:5" ht="40.5" customHeight="1" thickBot="1">
      <c r="A17" s="465" t="s">
        <v>200</v>
      </c>
      <c r="B17" s="466"/>
      <c r="C17" s="206">
        <f>C16-(C16*0.2)</f>
        <v>3721.4847999999997</v>
      </c>
      <c r="D17" s="206">
        <f>D16-(D16*0.2)</f>
        <v>3870.2752</v>
      </c>
      <c r="E17" s="206">
        <f>E16-(E16*0.2)</f>
        <v>4044.4011519999999</v>
      </c>
    </row>
    <row r="18" spans="1:5" ht="12.75" customHeight="1">
      <c r="A18" s="618" t="s">
        <v>82</v>
      </c>
      <c r="B18" s="492"/>
      <c r="C18" s="93"/>
      <c r="D18" s="93"/>
      <c r="E18" s="92"/>
    </row>
    <row r="19" spans="1:5" ht="13.5" thickBot="1">
      <c r="A19" s="619"/>
      <c r="B19" s="493"/>
      <c r="C19" s="94">
        <v>495</v>
      </c>
      <c r="D19" s="94">
        <v>487</v>
      </c>
      <c r="E19" s="198">
        <v>502</v>
      </c>
    </row>
    <row r="20" spans="1:5" ht="13.5" thickBot="1">
      <c r="A20" s="82"/>
      <c r="B20" s="4"/>
      <c r="C20" s="92"/>
      <c r="D20" s="92"/>
      <c r="E20" s="99"/>
    </row>
    <row r="21" spans="1:5" ht="12.75" customHeight="1">
      <c r="A21" s="461" t="s">
        <v>168</v>
      </c>
      <c r="B21" s="462"/>
      <c r="C21" s="244"/>
      <c r="D21" s="136"/>
      <c r="E21" s="250"/>
    </row>
    <row r="22" spans="1:5" ht="13.5" thickBot="1">
      <c r="A22" s="463"/>
      <c r="B22" s="464"/>
      <c r="C22" s="213">
        <f>C19*C17</f>
        <v>1842134.9759999998</v>
      </c>
      <c r="D22" s="214">
        <f>D19*D17</f>
        <v>1884824.0224000001</v>
      </c>
      <c r="E22" s="251">
        <f>E17*E19</f>
        <v>2030289.378304</v>
      </c>
    </row>
    <row r="24" spans="5:6" ht="12.75">
      <c r="E24" s="4"/>
      <c r="F24" s="175"/>
    </row>
    <row r="25" spans="5:6" ht="12.75">
      <c r="E25" s="4"/>
      <c r="F25" s="175"/>
    </row>
    <row r="26" spans="5:6" ht="12.75">
      <c r="E26" s="4"/>
      <c r="F26" s="239"/>
    </row>
    <row r="27" spans="5:6" ht="12.75">
      <c r="E27" s="4"/>
      <c r="F27" s="28"/>
    </row>
    <row r="28" spans="5:6" ht="12.75">
      <c r="E28" s="4"/>
      <c r="F28" s="239"/>
    </row>
    <row r="29" spans="5:6" ht="12.75">
      <c r="E29" s="4"/>
      <c r="F29" s="239"/>
    </row>
    <row r="30" spans="5:6" ht="12.75">
      <c r="E30" s="4"/>
      <c r="F30" s="239"/>
    </row>
    <row r="31" spans="5:6" ht="12.75">
      <c r="E31" s="4"/>
      <c r="F31" s="239"/>
    </row>
    <row r="32" spans="5:6" ht="12.75">
      <c r="E32" s="4"/>
      <c r="F32" s="239"/>
    </row>
    <row r="33" spans="5:6" ht="12.75">
      <c r="E33" s="4"/>
      <c r="F33" s="28"/>
    </row>
    <row r="34" spans="5:6" ht="12.75">
      <c r="E34" s="4"/>
      <c r="F34" s="28"/>
    </row>
    <row r="35" spans="5:6" ht="12.75">
      <c r="E35" s="4"/>
      <c r="F35" s="237"/>
    </row>
    <row r="36" spans="5:6" ht="12.75">
      <c r="E36" s="4"/>
      <c r="F36" s="28"/>
    </row>
    <row r="37" spans="5:6" ht="12.75">
      <c r="E37" s="4"/>
      <c r="F37" s="28"/>
    </row>
    <row r="38" spans="5:6" ht="12.75">
      <c r="E38" s="4"/>
      <c r="F38" s="240"/>
    </row>
    <row r="39" spans="6:6" ht="12.75">
      <c r="F39" s="172"/>
    </row>
  </sheetData>
  <sheetProtection/>
  <mergeCells count="4">
    <mergeCell ref="A21:B22"/>
    <mergeCell ref="A18:B19"/>
    <mergeCell ref="A16:B16"/>
    <mergeCell ref="A17:B17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P30"/>
  <sheetViews>
    <sheetView workbookViewId="0" topLeftCell="A1">
      <selection pane="topLeft" activeCell="I8" sqref="I8"/>
    </sheetView>
  </sheetViews>
  <sheetFormatPr defaultRowHeight="12.75"/>
  <cols>
    <col min="1" max="1" width="9.71428571428571" customWidth="1"/>
    <col min="2" max="4" width="10.7142857142857" customWidth="1"/>
    <col min="5" max="5" width="11.5714285714286" customWidth="1"/>
    <col min="6" max="6" width="13.4285714285714" bestFit="1" customWidth="1"/>
    <col min="7" max="7" width="12.5714285714286" customWidth="1"/>
    <col min="8" max="8" width="15" customWidth="1"/>
    <col min="11" max="11" width="13.4285714285714" bestFit="1" customWidth="1"/>
    <col min="13" max="13" width="10.7142857142857" customWidth="1"/>
    <col min="16" max="16" width="13.4285714285714" bestFit="1" customWidth="1"/>
  </cols>
  <sheetData>
    <row r="2" spans="1:1" ht="12.75">
      <c r="A2" s="1" t="s">
        <v>144</v>
      </c>
    </row>
    <row r="4" spans="1:5" ht="12.75">
      <c r="A4" s="32"/>
      <c r="B4" s="3">
        <v>2012</v>
      </c>
      <c r="C4" s="3">
        <v>2013</v>
      </c>
      <c r="D4" s="3">
        <v>2014</v>
      </c>
      <c r="E4" s="18">
        <v>2015</v>
      </c>
    </row>
    <row r="5" spans="1:5" ht="12.75">
      <c r="A5" s="3" t="s">
        <v>31</v>
      </c>
      <c r="B5" s="26">
        <f>'zakladné ukazovatele'!M53</f>
        <v>442.34000000000003</v>
      </c>
      <c r="C5" s="26">
        <f>'zakladné ukazovatele'!T38</f>
        <v>456.53999999999996</v>
      </c>
      <c r="D5" s="26">
        <f>'zakladné ukazovatele'!T53</f>
        <v>470.22099999999995</v>
      </c>
      <c r="E5" s="8">
        <f>'zakladné ukazovatele'!T97</f>
        <v>484.32592999999997</v>
      </c>
    </row>
    <row r="6" spans="1:5" ht="12.75">
      <c r="A6" s="3" t="s">
        <v>32</v>
      </c>
      <c r="B6" s="26">
        <f>'zakladné ukazovatele'!F68</f>
        <v>1034.27</v>
      </c>
      <c r="C6" s="26">
        <f>'zakladné ukazovatele'!M68</f>
        <v>1057.24</v>
      </c>
      <c r="D6" s="26">
        <f>'zakladné ukazovatele'!F83</f>
        <v>1099.51</v>
      </c>
      <c r="E6" s="8">
        <f>'zakladné ukazovatele'!M97</f>
        <v>1148.9776000000002</v>
      </c>
    </row>
    <row r="8" ht="13.5" thickBot="1"/>
    <row r="9" spans="1:8" ht="13.5" thickBot="1">
      <c r="A9" s="444">
        <v>2013</v>
      </c>
      <c r="B9" s="445"/>
      <c r="C9" s="445"/>
      <c r="D9" s="445"/>
      <c r="E9" s="445"/>
      <c r="F9" s="445"/>
      <c r="G9" s="445"/>
      <c r="H9" s="515"/>
    </row>
    <row r="10" spans="1:8" ht="12.75" customHeight="1">
      <c r="A10" s="620" t="s">
        <v>54</v>
      </c>
      <c r="B10" s="626" t="s">
        <v>112</v>
      </c>
      <c r="C10" s="624" t="s">
        <v>141</v>
      </c>
      <c r="D10" s="625" t="s">
        <v>113</v>
      </c>
      <c r="E10" s="486" t="s">
        <v>115</v>
      </c>
      <c r="F10" s="622" t="s">
        <v>130</v>
      </c>
      <c r="G10" s="620" t="s">
        <v>114</v>
      </c>
      <c r="H10" s="630" t="s">
        <v>116</v>
      </c>
    </row>
    <row r="11" spans="1:15" ht="25.5" customHeight="1">
      <c r="A11" s="621"/>
      <c r="B11" s="439"/>
      <c r="C11" s="574"/>
      <c r="D11" s="437"/>
      <c r="E11" s="624"/>
      <c r="F11" s="623"/>
      <c r="G11" s="621"/>
      <c r="H11" s="631"/>
      <c r="J11" s="51"/>
      <c r="M11" s="51"/>
      <c r="O11" s="51"/>
    </row>
    <row r="12" spans="1:16" ht="12.75">
      <c r="A12" s="627" t="s">
        <v>208</v>
      </c>
      <c r="B12" s="78">
        <f>B5*0.5</f>
        <v>221.17000000000002</v>
      </c>
      <c r="C12" s="26">
        <f>B6*0.7</f>
        <v>723.98899999999992</v>
      </c>
      <c r="D12" s="26">
        <f>AVERAGE(B12:C12)</f>
        <v>472.57949999999994</v>
      </c>
      <c r="E12" s="35">
        <v>9</v>
      </c>
      <c r="F12" s="36">
        <f>E12*D12</f>
        <v>4253.2154999999993</v>
      </c>
      <c r="G12" s="192">
        <v>363</v>
      </c>
      <c r="H12" s="84">
        <f>F12*G12</f>
        <v>1543917.2264999999</v>
      </c>
      <c r="I12" s="41"/>
      <c r="J12" s="34"/>
      <c r="K12" s="41"/>
      <c r="L12" s="41"/>
      <c r="M12" s="41"/>
      <c r="N12" s="41"/>
      <c r="O12" s="34"/>
      <c r="P12" s="41"/>
    </row>
    <row r="13" spans="1:16" ht="13.5" thickBot="1">
      <c r="A13" s="491"/>
      <c r="B13" s="33"/>
      <c r="C13" s="33"/>
      <c r="D13" s="26"/>
      <c r="E13" s="38"/>
      <c r="F13" s="33"/>
      <c r="G13" s="184"/>
      <c r="H13" s="86"/>
      <c r="I13" s="41"/>
      <c r="J13" s="34"/>
      <c r="K13" s="41"/>
      <c r="L13" s="41"/>
      <c r="M13" s="41"/>
      <c r="N13" s="41"/>
      <c r="O13" s="34"/>
      <c r="P13" s="41"/>
    </row>
    <row r="14" spans="1:10" ht="13.5" thickBot="1">
      <c r="A14" s="120" t="s">
        <v>62</v>
      </c>
      <c r="B14" s="67"/>
      <c r="C14" s="67"/>
      <c r="D14" s="191"/>
      <c r="E14" s="67"/>
      <c r="F14" s="67"/>
      <c r="G14" s="112"/>
      <c r="H14" s="116">
        <f>H12+H13</f>
        <v>1543917.2264999999</v>
      </c>
      <c r="J14" s="34"/>
    </row>
    <row r="15" spans="10:10" ht="13.5" thickBot="1">
      <c r="J15" s="34"/>
    </row>
    <row r="16" spans="1:10" ht="13.5" thickBot="1">
      <c r="A16" s="446">
        <v>2014</v>
      </c>
      <c r="B16" s="447"/>
      <c r="C16" s="447"/>
      <c r="D16" s="447"/>
      <c r="E16" s="447"/>
      <c r="F16" s="447"/>
      <c r="G16" s="447"/>
      <c r="H16" s="448"/>
      <c r="J16" s="34"/>
    </row>
    <row r="17" spans="1:10" ht="12.75">
      <c r="A17" s="620" t="s">
        <v>54</v>
      </c>
      <c r="B17" s="626" t="s">
        <v>112</v>
      </c>
      <c r="C17" s="624" t="s">
        <v>141</v>
      </c>
      <c r="D17" s="428" t="s">
        <v>113</v>
      </c>
      <c r="E17" s="624" t="s">
        <v>115</v>
      </c>
      <c r="F17" s="628" t="s">
        <v>130</v>
      </c>
      <c r="G17" s="620" t="s">
        <v>114</v>
      </c>
      <c r="H17" s="632" t="s">
        <v>116</v>
      </c>
      <c r="J17" s="34"/>
    </row>
    <row r="18" spans="1:8" ht="12.75" customHeight="1">
      <c r="A18" s="621"/>
      <c r="B18" s="439"/>
      <c r="C18" s="574"/>
      <c r="D18" s="426"/>
      <c r="E18" s="574"/>
      <c r="F18" s="629"/>
      <c r="G18" s="621"/>
      <c r="H18" s="633"/>
    </row>
    <row r="19" spans="1:8" ht="12.75">
      <c r="A19" s="621"/>
      <c r="B19" s="439"/>
      <c r="C19" s="574"/>
      <c r="D19" s="426"/>
      <c r="E19" s="574"/>
      <c r="F19" s="629"/>
      <c r="G19" s="621"/>
      <c r="H19" s="633"/>
    </row>
    <row r="20" spans="1:8" ht="12.75">
      <c r="A20" s="627" t="s">
        <v>208</v>
      </c>
      <c r="B20" s="78">
        <f>C5*0.5</f>
        <v>228.26999999999998</v>
      </c>
      <c r="C20" s="26">
        <f>C6*0.7</f>
        <v>740.06799999999998</v>
      </c>
      <c r="D20" s="26">
        <f>AVERAGE(B20:C20)</f>
        <v>484.16899999999998</v>
      </c>
      <c r="E20" s="35">
        <v>9</v>
      </c>
      <c r="F20" s="36">
        <f>D20*E20</f>
        <v>4357.5209999999997</v>
      </c>
      <c r="G20" s="192">
        <v>380</v>
      </c>
      <c r="H20" s="84">
        <f>F20*G20</f>
        <v>1655857.98</v>
      </c>
    </row>
    <row r="21" spans="1:8" ht="13.5" thickBot="1">
      <c r="A21" s="491"/>
      <c r="B21" s="152"/>
      <c r="C21" s="139"/>
      <c r="D21" s="139"/>
      <c r="E21" s="150"/>
      <c r="F21" s="153"/>
      <c r="G21" s="155"/>
      <c r="H21" s="154"/>
    </row>
    <row r="22" spans="1:8" ht="13.5" thickBot="1">
      <c r="A22" s="120" t="s">
        <v>62</v>
      </c>
      <c r="B22" s="67"/>
      <c r="C22" s="67"/>
      <c r="D22" s="191"/>
      <c r="E22" s="67"/>
      <c r="F22" s="67"/>
      <c r="G22" s="112"/>
      <c r="H22" s="117">
        <f>H20+H21</f>
        <v>1655857.98</v>
      </c>
    </row>
    <row r="23" ht="13.5" thickBot="1"/>
    <row r="24" spans="1:8" ht="13.5" thickBot="1">
      <c r="A24" s="500">
        <v>2015</v>
      </c>
      <c r="B24" s="449"/>
      <c r="C24" s="449"/>
      <c r="D24" s="449"/>
      <c r="E24" s="449"/>
      <c r="F24" s="449"/>
      <c r="G24" s="449"/>
      <c r="H24" s="450"/>
    </row>
    <row r="25" spans="1:8" ht="12.75">
      <c r="A25" s="620" t="s">
        <v>54</v>
      </c>
      <c r="B25" s="626" t="s">
        <v>112</v>
      </c>
      <c r="C25" s="624" t="s">
        <v>141</v>
      </c>
      <c r="D25" s="428" t="s">
        <v>113</v>
      </c>
      <c r="E25" s="624" t="s">
        <v>115</v>
      </c>
      <c r="F25" s="628" t="s">
        <v>130</v>
      </c>
      <c r="G25" s="620" t="s">
        <v>114</v>
      </c>
      <c r="H25" s="632" t="s">
        <v>116</v>
      </c>
    </row>
    <row r="26" spans="1:8" ht="12.75" customHeight="1">
      <c r="A26" s="621"/>
      <c r="B26" s="439"/>
      <c r="C26" s="574"/>
      <c r="D26" s="426"/>
      <c r="E26" s="574"/>
      <c r="F26" s="629"/>
      <c r="G26" s="621"/>
      <c r="H26" s="633"/>
    </row>
    <row r="27" spans="1:8" ht="12.75">
      <c r="A27" s="621"/>
      <c r="B27" s="439"/>
      <c r="C27" s="574"/>
      <c r="D27" s="426"/>
      <c r="E27" s="574"/>
      <c r="F27" s="629"/>
      <c r="G27" s="621"/>
      <c r="H27" s="633"/>
    </row>
    <row r="28" spans="1:8" ht="12.75">
      <c r="A28" s="627" t="s">
        <v>208</v>
      </c>
      <c r="B28" s="107">
        <f>D5*0.5</f>
        <v>235.11049999999997</v>
      </c>
      <c r="C28" s="26">
        <f>D6*0.7</f>
        <v>769.65699999999993</v>
      </c>
      <c r="D28" s="26">
        <f>AVERAGE(B28:C28)</f>
        <v>502.38374999999996</v>
      </c>
      <c r="E28" s="35">
        <v>9</v>
      </c>
      <c r="F28" s="36">
        <f>D28*E28</f>
        <v>4521.4537499999997</v>
      </c>
      <c r="G28" s="192">
        <v>390</v>
      </c>
      <c r="H28" s="84">
        <f>F28*G28</f>
        <v>1763366.9624999999</v>
      </c>
    </row>
    <row r="29" spans="1:8" ht="13.5" thickBot="1">
      <c r="A29" s="491"/>
      <c r="B29" s="80"/>
      <c r="C29" s="81"/>
      <c r="D29" s="81"/>
      <c r="E29" s="151"/>
      <c r="F29" s="40"/>
      <c r="G29" s="149"/>
      <c r="H29" s="86"/>
    </row>
    <row r="30" spans="1:8" ht="13.5" thickBot="1">
      <c r="A30" s="120" t="s">
        <v>62</v>
      </c>
      <c r="B30" s="67"/>
      <c r="C30" s="67"/>
      <c r="D30" s="191"/>
      <c r="E30" s="67"/>
      <c r="F30" s="67"/>
      <c r="G30" s="112"/>
      <c r="H30" s="252">
        <f>H28+H29</f>
        <v>1763366.9624999999</v>
      </c>
    </row>
  </sheetData>
  <sheetProtection/>
  <mergeCells count="30">
    <mergeCell ref="A28:A29"/>
    <mergeCell ref="H10:H11"/>
    <mergeCell ref="H17:H19"/>
    <mergeCell ref="H25:H27"/>
    <mergeCell ref="A24:H24"/>
    <mergeCell ref="A16:H16"/>
    <mergeCell ref="F17:F19"/>
    <mergeCell ref="G17:G19"/>
    <mergeCell ref="C10:C11"/>
    <mergeCell ref="E17:E19"/>
    <mergeCell ref="A9:H9"/>
    <mergeCell ref="G25:G27"/>
    <mergeCell ref="F25:F27"/>
    <mergeCell ref="E25:E27"/>
    <mergeCell ref="D25:D27"/>
    <mergeCell ref="A25:A27"/>
    <mergeCell ref="C25:C27"/>
    <mergeCell ref="B25:B27"/>
    <mergeCell ref="A20:A21"/>
    <mergeCell ref="D17:D19"/>
    <mergeCell ref="G10:G11"/>
    <mergeCell ref="F10:F11"/>
    <mergeCell ref="E10:E11"/>
    <mergeCell ref="D10:D11"/>
    <mergeCell ref="A17:A19"/>
    <mergeCell ref="B17:B19"/>
    <mergeCell ref="C17:C19"/>
    <mergeCell ref="A12:A13"/>
    <mergeCell ref="B10:B11"/>
    <mergeCell ref="A10:A11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M27"/>
  <sheetViews>
    <sheetView workbookViewId="0" topLeftCell="A1">
      <selection pane="topLeft" activeCell="F18" sqref="F18"/>
    </sheetView>
  </sheetViews>
  <sheetFormatPr defaultRowHeight="12.75"/>
  <cols>
    <col min="1" max="2" width="11.7142857142857" customWidth="1"/>
    <col min="3" max="6" width="15.7142857142857" customWidth="1"/>
  </cols>
  <sheetData>
    <row r="2" spans="1:13" ht="12.75" customHeight="1">
      <c r="A2" s="514" t="s">
        <v>85</v>
      </c>
      <c r="B2" s="514"/>
      <c r="C2" s="514"/>
      <c r="D2" s="514"/>
      <c r="E2" s="514"/>
      <c r="F2" s="514"/>
      <c r="G2" s="97"/>
      <c r="H2" s="97"/>
      <c r="I2" s="97"/>
      <c r="J2" s="97"/>
      <c r="K2" s="97"/>
      <c r="L2" s="97"/>
      <c r="M2" s="97"/>
    </row>
    <row r="3" spans="1:13" ht="12.75">
      <c r="A3" s="514"/>
      <c r="B3" s="514"/>
      <c r="C3" s="514"/>
      <c r="D3" s="514"/>
      <c r="E3" s="514"/>
      <c r="F3" s="514"/>
      <c r="G3" s="97"/>
      <c r="H3" s="97"/>
      <c r="I3" s="97"/>
      <c r="J3" s="97"/>
      <c r="K3" s="97"/>
      <c r="L3" s="97"/>
      <c r="M3" s="97"/>
    </row>
    <row r="5" spans="1:6" ht="12.75">
      <c r="A5" s="32" t="s">
        <v>217</v>
      </c>
      <c r="B5" s="3">
        <v>2012</v>
      </c>
      <c r="C5" s="3">
        <v>2013</v>
      </c>
      <c r="D5" s="3">
        <v>2014</v>
      </c>
      <c r="E5" s="306">
        <v>2015</v>
      </c>
      <c r="F5" s="28"/>
    </row>
    <row r="6" spans="1:6" ht="12.75">
      <c r="A6" s="194" t="s">
        <v>163</v>
      </c>
      <c r="B6" s="8">
        <f>'zakladné ukazovatele'!J6</f>
        <v>765</v>
      </c>
      <c r="C6" s="8">
        <f>'zakladné ukazovatele'!J7</f>
        <v>782</v>
      </c>
      <c r="D6" s="8">
        <f>'zakladné ukazovatele'!J8</f>
        <v>813.27999999999997</v>
      </c>
      <c r="E6" s="218">
        <f>'zakladné ukazovatele'!J9</f>
        <v>849.87760000000003</v>
      </c>
      <c r="F6" s="28"/>
    </row>
    <row r="7" spans="1:6" ht="12.75">
      <c r="A7" s="194" t="s">
        <v>216</v>
      </c>
      <c r="B7" s="8">
        <f>'zakladné ukazovatele'!F68</f>
        <v>1034.27</v>
      </c>
      <c r="C7" s="8">
        <f>'zakladné ukazovatele'!M68</f>
        <v>1057.24</v>
      </c>
      <c r="D7" s="8">
        <f>'zakladné ukazovatele'!F83</f>
        <v>1099.51</v>
      </c>
      <c r="E7" s="218">
        <f>'zakladné ukazovatele'!M97</f>
        <v>1148.9776000000002</v>
      </c>
      <c r="F7" s="28"/>
    </row>
    <row r="8" spans="6:6" ht="13.5" thickBot="1">
      <c r="F8" s="28"/>
    </row>
    <row r="9" spans="1:6" ht="13.5" thickBot="1">
      <c r="A9" s="66"/>
      <c r="B9" s="67"/>
      <c r="C9" s="229">
        <v>2013</v>
      </c>
      <c r="D9" s="230">
        <v>2014</v>
      </c>
      <c r="E9" s="228">
        <v>2015</v>
      </c>
      <c r="F9" s="236"/>
    </row>
    <row r="10" spans="1:6" ht="12.75">
      <c r="A10" s="634" t="s">
        <v>245</v>
      </c>
      <c r="B10" s="635"/>
      <c r="C10" s="92"/>
      <c r="D10" s="4"/>
      <c r="E10" s="82"/>
      <c r="F10" s="176"/>
    </row>
    <row r="11" spans="1:7" ht="13.5" thickBot="1">
      <c r="A11" s="619"/>
      <c r="B11" s="636"/>
      <c r="C11" s="414">
        <f>2.5*C7</f>
        <v>2643.0999999999999</v>
      </c>
      <c r="D11" s="415">
        <f>2.5*D7</f>
        <v>2748.7750000000001</v>
      </c>
      <c r="E11" s="416">
        <f>2.5*E7</f>
        <v>2872.4440000000004</v>
      </c>
      <c r="F11" s="243"/>
      <c r="G11" s="41"/>
    </row>
    <row r="12" spans="1:7" ht="13.5" customHeight="1">
      <c r="A12" s="634" t="s">
        <v>246</v>
      </c>
      <c r="B12" s="635"/>
      <c r="C12" s="417"/>
      <c r="D12" s="417"/>
      <c r="E12" s="418"/>
      <c r="F12" s="243"/>
      <c r="G12" s="41"/>
    </row>
    <row r="13" spans="1:7" ht="13.5" thickBot="1">
      <c r="A13" s="619"/>
      <c r="B13" s="636"/>
      <c r="C13" s="416">
        <f>5*C7</f>
        <v>5286.1999999999998</v>
      </c>
      <c r="D13" s="414">
        <f>5*D7</f>
        <v>5497.5500000000002</v>
      </c>
      <c r="E13" s="419">
        <f>5*E7</f>
        <v>5744.8880000000008</v>
      </c>
      <c r="F13" s="243"/>
      <c r="G13" s="41"/>
    </row>
    <row r="14" spans="1:7" ht="13.5" thickBot="1">
      <c r="A14" s="642" t="s">
        <v>247</v>
      </c>
      <c r="B14" s="643"/>
      <c r="C14" s="413">
        <f>AVERAGE(C11,C13)</f>
        <v>3964.6499999999996</v>
      </c>
      <c r="D14" s="413">
        <f>AVERAGE(D11,D13)</f>
        <v>4123.1625000000004</v>
      </c>
      <c r="E14" s="204">
        <f>AVERAGE(E11,E13)</f>
        <v>4308.6660000000011</v>
      </c>
      <c r="F14" s="243"/>
      <c r="G14" s="41"/>
    </row>
    <row r="15" spans="1:7" ht="40.5" customHeight="1" thickBot="1">
      <c r="A15" s="465" t="s">
        <v>164</v>
      </c>
      <c r="B15" s="466"/>
      <c r="C15" s="205">
        <f>C14/4</f>
        <v>991.16249999999991</v>
      </c>
      <c r="D15" s="206">
        <f>D14/4</f>
        <v>1030.7906250000001</v>
      </c>
      <c r="E15" s="205">
        <f>E14/4</f>
        <v>1077.1665000000003</v>
      </c>
      <c r="F15" s="241"/>
      <c r="G15" s="41"/>
    </row>
    <row r="16" spans="1:7" ht="13.5" thickBot="1">
      <c r="A16" s="85"/>
      <c r="B16" s="79"/>
      <c r="C16" s="76"/>
      <c r="D16" s="76"/>
      <c r="E16" s="76"/>
      <c r="F16" s="176"/>
      <c r="G16" s="41"/>
    </row>
    <row r="17" spans="1:7" ht="12.75">
      <c r="A17" s="618" t="s">
        <v>155</v>
      </c>
      <c r="B17" s="492"/>
      <c r="C17" s="197">
        <v>4685</v>
      </c>
      <c r="D17" s="105">
        <v>4692</v>
      </c>
      <c r="E17" s="197">
        <v>4709</v>
      </c>
      <c r="F17" s="242"/>
      <c r="G17" s="41"/>
    </row>
    <row r="18" spans="1:6" ht="13.5" thickBot="1">
      <c r="A18" s="619"/>
      <c r="B18" s="493"/>
      <c r="C18" s="96"/>
      <c r="D18" s="94"/>
      <c r="E18" s="96"/>
      <c r="F18" s="176"/>
    </row>
    <row r="19" spans="1:6" ht="12.75">
      <c r="A19" s="637" t="s">
        <v>154</v>
      </c>
      <c r="B19" s="635"/>
      <c r="C19" s="92"/>
      <c r="D19" s="4"/>
      <c r="E19" s="82"/>
      <c r="F19" s="176"/>
    </row>
    <row r="20" spans="1:6" ht="13.5" thickBot="1">
      <c r="A20" s="619"/>
      <c r="B20" s="636"/>
      <c r="C20" s="164">
        <f>C17*4</f>
        <v>18740</v>
      </c>
      <c r="D20" s="165">
        <f>D17*4</f>
        <v>18768</v>
      </c>
      <c r="E20" s="307">
        <f>E17*4</f>
        <v>18836</v>
      </c>
      <c r="F20" s="308"/>
    </row>
    <row r="21" spans="1:6" ht="13.5" thickBot="1">
      <c r="A21" s="82"/>
      <c r="B21" s="4"/>
      <c r="C21" s="205"/>
      <c r="D21" s="205"/>
      <c r="E21" s="205"/>
      <c r="F21" s="241"/>
    </row>
    <row r="22" spans="1:6" ht="12.75">
      <c r="A22" s="461" t="s">
        <v>165</v>
      </c>
      <c r="B22" s="638"/>
      <c r="C22" s="309"/>
      <c r="D22" s="312"/>
      <c r="E22" s="314"/>
      <c r="F22" s="241"/>
    </row>
    <row r="23" spans="1:6" ht="12.75">
      <c r="A23" s="639"/>
      <c r="B23" s="640"/>
      <c r="C23" s="310">
        <f>C20*C15</f>
        <v>18574385.25</v>
      </c>
      <c r="D23" s="238">
        <f>D20*D15</f>
        <v>19345878.450000003</v>
      </c>
      <c r="E23" s="315">
        <f>E20*E15</f>
        <v>20289508.194000006</v>
      </c>
      <c r="F23" s="243"/>
    </row>
    <row r="24" spans="1:6" ht="13.5" thickBot="1">
      <c r="A24" s="463"/>
      <c r="B24" s="641"/>
      <c r="C24" s="311"/>
      <c r="D24" s="313"/>
      <c r="E24" s="316"/>
      <c r="F24" s="241"/>
    </row>
    <row r="25" spans="6:6" ht="12.75">
      <c r="F25" s="28"/>
    </row>
    <row r="26" spans="6:6" ht="12.75">
      <c r="F26" s="28"/>
    </row>
    <row r="27" spans="6:6" ht="12.75">
      <c r="F27" s="28"/>
    </row>
  </sheetData>
  <sheetProtection/>
  <mergeCells count="8">
    <mergeCell ref="A2:F3"/>
    <mergeCell ref="A10:B11"/>
    <mergeCell ref="A19:B20"/>
    <mergeCell ref="A22:B24"/>
    <mergeCell ref="A15:B15"/>
    <mergeCell ref="A17:B18"/>
    <mergeCell ref="A12:B13"/>
    <mergeCell ref="A14:B14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M40"/>
  <sheetViews>
    <sheetView workbookViewId="0" topLeftCell="A1">
      <selection pane="topLeft" activeCell="A40" sqref="A40:H40"/>
    </sheetView>
  </sheetViews>
  <sheetFormatPr defaultRowHeight="12.75"/>
  <cols>
    <col min="1" max="1" width="9.28571428571429" customWidth="1"/>
    <col min="2" max="2" width="17.7142857142857" customWidth="1"/>
    <col min="3" max="3" width="19" customWidth="1"/>
    <col min="4" max="4" width="16.7142857142857" customWidth="1"/>
    <col min="5" max="5" width="17.7142857142857" customWidth="1"/>
    <col min="6" max="6" width="19" customWidth="1"/>
    <col min="7" max="7" width="16.7142857142857" customWidth="1"/>
    <col min="8" max="8" width="17.7142857142857" customWidth="1"/>
    <col min="9" max="9" width="19" customWidth="1"/>
    <col min="10" max="10" width="16.7142857142857" customWidth="1"/>
    <col min="11" max="11" width="17.7142857142857" customWidth="1"/>
    <col min="12" max="12" width="19" customWidth="1"/>
    <col min="13" max="13" width="16.7142857142857" customWidth="1"/>
  </cols>
  <sheetData>
    <row r="1" spans="1:1" ht="12.75">
      <c r="A1" s="1" t="s">
        <v>172</v>
      </c>
    </row>
    <row r="2" spans="1:1" ht="13.5" thickBot="1">
      <c r="A2" s="31"/>
    </row>
    <row r="3" spans="1:13" ht="13.5" thickBot="1">
      <c r="A3" s="646"/>
      <c r="B3" s="649" t="s">
        <v>233</v>
      </c>
      <c r="C3" s="650"/>
      <c r="D3" s="651"/>
      <c r="E3" s="649" t="s">
        <v>234</v>
      </c>
      <c r="F3" s="652"/>
      <c r="G3" s="652"/>
      <c r="H3" s="652"/>
      <c r="I3" s="652"/>
      <c r="J3" s="652"/>
      <c r="K3" s="652"/>
      <c r="L3" s="652"/>
      <c r="M3" s="653"/>
    </row>
    <row r="4" spans="1:13" ht="13.5" thickBot="1">
      <c r="A4" s="647"/>
      <c r="B4" s="659">
        <v>2012</v>
      </c>
      <c r="C4" s="660"/>
      <c r="D4" s="661"/>
      <c r="E4" s="655">
        <v>2013</v>
      </c>
      <c r="F4" s="656"/>
      <c r="G4" s="657"/>
      <c r="H4" s="658">
        <v>2014</v>
      </c>
      <c r="I4" s="658"/>
      <c r="J4" s="658"/>
      <c r="K4" s="654">
        <v>2015</v>
      </c>
      <c r="L4" s="654"/>
      <c r="M4" s="654"/>
    </row>
    <row r="5" spans="1:13" ht="51" customHeight="1" thickBot="1">
      <c r="A5" s="648"/>
      <c r="B5" s="159" t="s">
        <v>127</v>
      </c>
      <c r="C5" s="160" t="s">
        <v>161</v>
      </c>
      <c r="D5" s="161" t="s">
        <v>162</v>
      </c>
      <c r="E5" s="159" t="s">
        <v>127</v>
      </c>
      <c r="F5" s="160" t="s">
        <v>161</v>
      </c>
      <c r="G5" s="161" t="s">
        <v>162</v>
      </c>
      <c r="H5" s="159" t="s">
        <v>127</v>
      </c>
      <c r="I5" s="160" t="s">
        <v>161</v>
      </c>
      <c r="J5" s="161" t="s">
        <v>162</v>
      </c>
      <c r="K5" s="159" t="s">
        <v>127</v>
      </c>
      <c r="L5" s="160" t="s">
        <v>161</v>
      </c>
      <c r="M5" s="161" t="s">
        <v>162</v>
      </c>
    </row>
    <row r="6" spans="1:13" s="172" customFormat="1" ht="15" customHeight="1">
      <c r="A6" s="317" t="s">
        <v>218</v>
      </c>
      <c r="B6" s="166">
        <v>7938</v>
      </c>
      <c r="C6" s="324">
        <v>87790</v>
      </c>
      <c r="D6" s="318">
        <f>C6/B6</f>
        <v>11.059460821365583</v>
      </c>
      <c r="E6" s="166">
        <f>'§ 32'!C12</f>
        <v>7665</v>
      </c>
      <c r="F6" s="324">
        <f>'§ 32'!D12</f>
        <v>95413.699999999997</v>
      </c>
      <c r="G6" s="318">
        <f t="shared" si="0" ref="G6:G31">F6/E6</f>
        <v>12.447971298108284</v>
      </c>
      <c r="H6" s="166">
        <f>'§ 32'!F12</f>
        <v>7899</v>
      </c>
      <c r="I6" s="324">
        <f>'§ 32'!G12</f>
        <v>99848.100000000006</v>
      </c>
      <c r="J6" s="318">
        <f t="shared" si="1" ref="J6:J31">I6/H6</f>
        <v>12.640600075958982</v>
      </c>
      <c r="K6" s="166">
        <f>'§ 32'!I12</f>
        <v>7997</v>
      </c>
      <c r="L6" s="324">
        <f>'§ 32'!J12</f>
        <v>101939.3</v>
      </c>
      <c r="M6" s="318">
        <f t="shared" si="2" ref="M6:M31">L6/K6</f>
        <v>12.747192697261474</v>
      </c>
    </row>
    <row r="7" spans="1:13" s="362" customFormat="1" ht="15" customHeight="1">
      <c r="A7" s="358" t="s">
        <v>117</v>
      </c>
      <c r="B7" s="359">
        <v>3258</v>
      </c>
      <c r="C7" s="360">
        <v>105424</v>
      </c>
      <c r="D7" s="361">
        <f>C7/B7</f>
        <v>32.358502148557399</v>
      </c>
      <c r="E7" s="359">
        <f>'§ 43'!C12</f>
        <v>3179</v>
      </c>
      <c r="F7" s="360">
        <f>'§ 43'!D12</f>
        <v>102741.5</v>
      </c>
      <c r="G7" s="361">
        <f>F7/E7</f>
        <v>32.318810946838632</v>
      </c>
      <c r="H7" s="359">
        <f>'§ 43'!F12</f>
        <v>3219</v>
      </c>
      <c r="I7" s="360">
        <f>'§ 43'!G12</f>
        <v>105597</v>
      </c>
      <c r="J7" s="361">
        <f>I7/H7</f>
        <v>32.804287045666356</v>
      </c>
      <c r="K7" s="359">
        <f>'§ 43'!I12</f>
        <v>3291</v>
      </c>
      <c r="L7" s="360">
        <f>'§ 43'!J12</f>
        <v>109528.5</v>
      </c>
      <c r="M7" s="361">
        <f>L7/K7</f>
        <v>33.281221513217865</v>
      </c>
    </row>
    <row r="8" spans="1:13" s="362" customFormat="1" ht="15" customHeight="1">
      <c r="A8" s="358" t="s">
        <v>209</v>
      </c>
      <c r="B8" s="359">
        <v>9854</v>
      </c>
      <c r="C8" s="360">
        <v>9027281</v>
      </c>
      <c r="D8" s="361">
        <f>C8/B8</f>
        <v>916.10320681956568</v>
      </c>
      <c r="E8" s="359">
        <f>'§ 46 a 47'!C16</f>
        <v>11569</v>
      </c>
      <c r="F8" s="360">
        <f>'§ 46 a 47'!D16</f>
        <v>8356050</v>
      </c>
      <c r="G8" s="361">
        <f>F8/E8</f>
        <v>722.27936727461315</v>
      </c>
      <c r="H8" s="359">
        <f>'§ 46 a 47'!F16</f>
        <v>11931</v>
      </c>
      <c r="I8" s="360">
        <f>'§ 46 a 47'!G16</f>
        <v>9107100</v>
      </c>
      <c r="J8" s="361">
        <f>I8/H8</f>
        <v>763.31405582097057</v>
      </c>
      <c r="K8" s="359">
        <f>'§ 46 a 47'!I16</f>
        <v>12033</v>
      </c>
      <c r="L8" s="360">
        <f>'§ 46 a 47'!J16</f>
        <v>9668268.5</v>
      </c>
      <c r="M8" s="361">
        <f>L8/K8</f>
        <v>803.47947311559881</v>
      </c>
    </row>
    <row r="9" spans="1:13" s="362" customFormat="1" ht="15" customHeight="1">
      <c r="A9" s="358" t="s">
        <v>227</v>
      </c>
      <c r="B9" s="359">
        <v>456</v>
      </c>
      <c r="C9" s="360">
        <v>163500</v>
      </c>
      <c r="D9" s="361">
        <f>C9/B9</f>
        <v>358.55263157894734</v>
      </c>
      <c r="E9" s="359">
        <f>'§ 46 a 47'!C23</f>
        <v>1636</v>
      </c>
      <c r="F9" s="360">
        <f>'§ 46 a 47'!D23</f>
        <v>1408596</v>
      </c>
      <c r="G9" s="361">
        <f>F9/E9</f>
        <v>861</v>
      </c>
      <c r="H9" s="359">
        <f>'§ 46 a 47'!F23</f>
        <v>2536</v>
      </c>
      <c r="I9" s="360">
        <f>'§ 46 a 47'!G23</f>
        <v>2069376</v>
      </c>
      <c r="J9" s="361">
        <f>I9/H9</f>
        <v>816</v>
      </c>
      <c r="K9" s="359">
        <f>'§ 46 a 47'!I23</f>
        <v>2620</v>
      </c>
      <c r="L9" s="360">
        <f>'§ 46 a 47'!J23</f>
        <v>2096000</v>
      </c>
      <c r="M9" s="361">
        <f>L9/K9</f>
        <v>800</v>
      </c>
    </row>
    <row r="10" spans="1:13" ht="15" customHeight="1">
      <c r="A10" s="321" t="s">
        <v>215</v>
      </c>
      <c r="B10" s="322">
        <v>0</v>
      </c>
      <c r="C10" s="325">
        <v>0</v>
      </c>
      <c r="D10" s="323">
        <v>0</v>
      </c>
      <c r="E10" s="322">
        <v>0</v>
      </c>
      <c r="F10" s="325">
        <v>0</v>
      </c>
      <c r="G10" s="323">
        <v>0</v>
      </c>
      <c r="H10" s="322">
        <v>0</v>
      </c>
      <c r="I10" s="325">
        <v>0</v>
      </c>
      <c r="J10" s="323">
        <v>0</v>
      </c>
      <c r="K10" s="322">
        <v>0</v>
      </c>
      <c r="L10" s="325">
        <v>0</v>
      </c>
      <c r="M10" s="323">
        <v>0</v>
      </c>
    </row>
    <row r="11" spans="1:13" s="354" customFormat="1" ht="15" customHeight="1">
      <c r="A11" s="350" t="s">
        <v>118</v>
      </c>
      <c r="B11" s="351">
        <v>11278</v>
      </c>
      <c r="C11" s="352">
        <v>38798434</v>
      </c>
      <c r="D11" s="353">
        <f t="shared" si="3" ref="D11:D22">C11/B11</f>
        <v>3440.1874445823728</v>
      </c>
      <c r="E11" s="351">
        <f>'§ 49'!C18</f>
        <v>9723</v>
      </c>
      <c r="F11" s="352">
        <f>'§ 49'!C21</f>
        <v>32380565.238000002</v>
      </c>
      <c r="G11" s="353">
        <f>F11/E11</f>
        <v>3330.306</v>
      </c>
      <c r="H11" s="351">
        <f>'§ 49'!D18</f>
        <v>9472</v>
      </c>
      <c r="I11" s="352">
        <f>'§ 49'!D21</f>
        <v>32805859.967999998</v>
      </c>
      <c r="J11" s="353">
        <f>I11/H11</f>
        <v>3463.4564999999998</v>
      </c>
      <c r="K11" s="351">
        <f>'§ 49'!E18</f>
        <v>9056</v>
      </c>
      <c r="L11" s="352">
        <f>'§ 49'!E21</f>
        <v>32776194.608640004</v>
      </c>
      <c r="M11" s="353">
        <f>L11/K11</f>
        <v>3619.2794400000002</v>
      </c>
    </row>
    <row r="12" spans="1:13" s="172" customFormat="1" ht="15" customHeight="1">
      <c r="A12" s="321" t="s">
        <v>210</v>
      </c>
      <c r="B12" s="322">
        <v>184</v>
      </c>
      <c r="C12" s="325">
        <v>174301</v>
      </c>
      <c r="D12" s="323">
        <f>C12/B12</f>
        <v>947.28804347826087</v>
      </c>
      <c r="E12" s="322">
        <v>0</v>
      </c>
      <c r="F12" s="325">
        <v>0</v>
      </c>
      <c r="G12" s="323">
        <v>0</v>
      </c>
      <c r="H12" s="322">
        <v>0</v>
      </c>
      <c r="I12" s="325">
        <v>0</v>
      </c>
      <c r="J12" s="323">
        <v>0</v>
      </c>
      <c r="K12" s="322">
        <v>0</v>
      </c>
      <c r="L12" s="325">
        <v>0</v>
      </c>
      <c r="M12" s="323">
        <v>0</v>
      </c>
    </row>
    <row r="13" spans="1:13" s="354" customFormat="1" ht="15" customHeight="1">
      <c r="A13" s="350" t="s">
        <v>198</v>
      </c>
      <c r="B13" s="351">
        <v>1047</v>
      </c>
      <c r="C13" s="352">
        <v>2245889</v>
      </c>
      <c r="D13" s="353">
        <f>C13/B13</f>
        <v>2145.0706781279846</v>
      </c>
      <c r="E13" s="351">
        <f>'§ 50'!G16</f>
        <v>6665</v>
      </c>
      <c r="F13" s="352">
        <f>'§ 50'!H16</f>
        <v>18307958.075999998</v>
      </c>
      <c r="G13" s="353">
        <f>F13/E13</f>
        <v>2746.8804315078764</v>
      </c>
      <c r="H13" s="351">
        <f>'§ 50'!G30</f>
        <v>6735</v>
      </c>
      <c r="I13" s="352">
        <f>'§ 50'!H30</f>
        <v>21454141.4694</v>
      </c>
      <c r="J13" s="353">
        <f>I13/H13</f>
        <v>3185.4701513585746</v>
      </c>
      <c r="K13" s="351">
        <f>'§ 50'!G44</f>
        <v>7055</v>
      </c>
      <c r="L13" s="352">
        <f>'§ 50'!H44</f>
        <v>23369143.576887</v>
      </c>
      <c r="M13" s="353">
        <f>L13/K13</f>
        <v>3312.4229024644933</v>
      </c>
    </row>
    <row r="14" spans="1:13" s="172" customFormat="1" ht="15" customHeight="1">
      <c r="A14" s="321" t="s">
        <v>211</v>
      </c>
      <c r="B14" s="322">
        <v>4532</v>
      </c>
      <c r="C14" s="325">
        <v>14319317</v>
      </c>
      <c r="D14" s="323">
        <f>C14/B14</f>
        <v>3159.6021624007062</v>
      </c>
      <c r="E14" s="322">
        <v>0</v>
      </c>
      <c r="F14" s="325">
        <v>0</v>
      </c>
      <c r="G14" s="323">
        <v>0</v>
      </c>
      <c r="H14" s="322">
        <v>0</v>
      </c>
      <c r="I14" s="325">
        <v>0</v>
      </c>
      <c r="J14" s="323">
        <v>0</v>
      </c>
      <c r="K14" s="322">
        <v>0</v>
      </c>
      <c r="L14" s="325">
        <v>0</v>
      </c>
      <c r="M14" s="323">
        <v>0</v>
      </c>
    </row>
    <row r="15" spans="1:13" s="172" customFormat="1" ht="15" customHeight="1">
      <c r="A15" s="321" t="s">
        <v>128</v>
      </c>
      <c r="B15" s="322">
        <v>398</v>
      </c>
      <c r="C15" s="325">
        <v>1534858</v>
      </c>
      <c r="D15" s="323">
        <f>C15/B15</f>
        <v>3856.427135678392</v>
      </c>
      <c r="E15" s="322">
        <v>0</v>
      </c>
      <c r="F15" s="325">
        <v>0</v>
      </c>
      <c r="G15" s="323">
        <v>0</v>
      </c>
      <c r="H15" s="322">
        <v>0</v>
      </c>
      <c r="I15" s="325">
        <v>0</v>
      </c>
      <c r="J15" s="323">
        <v>0</v>
      </c>
      <c r="K15" s="322">
        <v>0</v>
      </c>
      <c r="L15" s="325">
        <v>0</v>
      </c>
      <c r="M15" s="323">
        <v>0</v>
      </c>
    </row>
    <row r="16" spans="1:13" s="354" customFormat="1" ht="15" customHeight="1">
      <c r="A16" s="350" t="s">
        <v>142</v>
      </c>
      <c r="B16" s="351">
        <v>8875</v>
      </c>
      <c r="C16" s="352">
        <v>24937012</v>
      </c>
      <c r="D16" s="353">
        <f>C16/B16</f>
        <v>2809.8041690140844</v>
      </c>
      <c r="E16" s="351">
        <f>'§ 50j'!D11</f>
        <v>8536</v>
      </c>
      <c r="F16" s="352">
        <f>'§ 50j'!F11</f>
        <v>31381067.52</v>
      </c>
      <c r="G16" s="353">
        <f>F16/E16</f>
        <v>3676.3200000000002</v>
      </c>
      <c r="H16" s="351">
        <f>'§ 50j'!D17</f>
        <v>8476</v>
      </c>
      <c r="I16" s="352">
        <f>'§ 50j'!F17</f>
        <v>32336574.004799999</v>
      </c>
      <c r="J16" s="353">
        <f>I16/H16</f>
        <v>3815.0747999999999</v>
      </c>
      <c r="K16" s="351">
        <f>'§ 50j'!D23</f>
        <v>8345</v>
      </c>
      <c r="L16" s="352">
        <f>'§ 50j'!F23</f>
        <v>33163248.58893</v>
      </c>
      <c r="M16" s="353">
        <f>L16/K16</f>
        <v>3974.026194</v>
      </c>
    </row>
    <row r="17" spans="1:13" s="424" customFormat="1" ht="15" customHeight="1">
      <c r="A17" s="420" t="s">
        <v>249</v>
      </c>
      <c r="B17" s="421">
        <v>0</v>
      </c>
      <c r="C17" s="422">
        <v>0</v>
      </c>
      <c r="D17" s="423">
        <v>0</v>
      </c>
      <c r="E17" s="421">
        <v>5000</v>
      </c>
      <c r="F17" s="422">
        <f>E17*G17</f>
        <v>380000</v>
      </c>
      <c r="G17" s="423">
        <v>76</v>
      </c>
      <c r="H17" s="421">
        <v>7350</v>
      </c>
      <c r="I17" s="422">
        <f>H17*J17</f>
        <v>588000</v>
      </c>
      <c r="J17" s="423">
        <v>80</v>
      </c>
      <c r="K17" s="421">
        <v>7560</v>
      </c>
      <c r="L17" s="422">
        <f>K17*M17</f>
        <v>642600</v>
      </c>
      <c r="M17" s="423">
        <v>85</v>
      </c>
    </row>
    <row r="18" spans="1:13" s="354" customFormat="1" ht="15" customHeight="1">
      <c r="A18" s="350" t="s">
        <v>119</v>
      </c>
      <c r="B18" s="351">
        <v>22478</v>
      </c>
      <c r="C18" s="352">
        <v>18941336</v>
      </c>
      <c r="D18" s="353">
        <f>C18/B18</f>
        <v>842.66109084438119</v>
      </c>
      <c r="E18" s="351">
        <f>'§ 51'!D18</f>
        <v>18210</v>
      </c>
      <c r="F18" s="352">
        <f>'§ 51'!D19</f>
        <v>9327741.9885000009</v>
      </c>
      <c r="G18" s="353">
        <f>F18/E18</f>
        <v>512.23185000000001</v>
      </c>
      <c r="H18" s="351">
        <f>'§ 51'!E18</f>
        <v>18497</v>
      </c>
      <c r="I18" s="352">
        <f>'§ 51'!E19</f>
        <v>9711621.3426862489</v>
      </c>
      <c r="J18" s="353">
        <f>I18/H18</f>
        <v>525.03764624999997</v>
      </c>
      <c r="K18" s="351">
        <f>'§ 51'!F18</f>
        <v>18632</v>
      </c>
      <c r="L18" s="352">
        <f>'§ 51'!F19</f>
        <v>10027063.960553251</v>
      </c>
      <c r="M18" s="353">
        <f>L18/K18</f>
        <v>538.16358740625003</v>
      </c>
    </row>
    <row r="19" spans="1:13" s="272" customFormat="1" ht="15" customHeight="1">
      <c r="A19" s="193" t="s">
        <v>197</v>
      </c>
      <c r="B19" s="271">
        <v>22834</v>
      </c>
      <c r="C19" s="326">
        <v>4210239</v>
      </c>
      <c r="D19" s="329">
        <f>C19/B19</f>
        <v>184.38464570377508</v>
      </c>
      <c r="E19" s="271">
        <v>22537</v>
      </c>
      <c r="F19" s="326">
        <f>E19*G19</f>
        <v>4282030</v>
      </c>
      <c r="G19" s="329">
        <v>190</v>
      </c>
      <c r="H19" s="271">
        <v>22371</v>
      </c>
      <c r="I19" s="326">
        <f>H19*J19</f>
        <v>4272861</v>
      </c>
      <c r="J19" s="329">
        <v>191</v>
      </c>
      <c r="K19" s="271">
        <v>22183</v>
      </c>
      <c r="L19" s="326">
        <f>K19*M19</f>
        <v>4259136</v>
      </c>
      <c r="M19" s="329">
        <v>192</v>
      </c>
    </row>
    <row r="20" spans="1:13" s="272" customFormat="1" ht="15" customHeight="1">
      <c r="A20" s="321" t="s">
        <v>153</v>
      </c>
      <c r="B20" s="322">
        <v>4896</v>
      </c>
      <c r="C20" s="325">
        <v>5281801</v>
      </c>
      <c r="D20" s="323">
        <f>C20/B20</f>
        <v>1078.7992238562092</v>
      </c>
      <c r="E20" s="322">
        <v>0</v>
      </c>
      <c r="F20" s="325">
        <v>0</v>
      </c>
      <c r="G20" s="323">
        <v>0</v>
      </c>
      <c r="H20" s="322">
        <v>0</v>
      </c>
      <c r="I20" s="325">
        <v>0</v>
      </c>
      <c r="J20" s="323">
        <v>0</v>
      </c>
      <c r="K20" s="322">
        <v>0</v>
      </c>
      <c r="L20" s="325">
        <v>0</v>
      </c>
      <c r="M20" s="323">
        <v>0</v>
      </c>
    </row>
    <row r="21" spans="1:13" s="272" customFormat="1" ht="15" customHeight="1">
      <c r="A21" s="193" t="s">
        <v>120</v>
      </c>
      <c r="B21" s="271">
        <v>19863</v>
      </c>
      <c r="C21" s="326">
        <v>5917228</v>
      </c>
      <c r="D21" s="329">
        <f>C21/B21</f>
        <v>297.90202889795097</v>
      </c>
      <c r="E21" s="271">
        <f>'§ 53'!I17</f>
        <v>19064</v>
      </c>
      <c r="F21" s="326">
        <f>'§ 53'!J17</f>
        <v>5593093.7255999995</v>
      </c>
      <c r="G21" s="329">
        <f>F21/E21</f>
        <v>293.38510939991608</v>
      </c>
      <c r="H21" s="271">
        <f>'§ 53'!K17</f>
        <v>19207</v>
      </c>
      <c r="I21" s="326">
        <f>'§ 53'!L17</f>
        <v>5650918.4507999998</v>
      </c>
      <c r="J21" s="329">
        <f>I21/H21</f>
        <v>294.21140473785596</v>
      </c>
      <c r="K21" s="271">
        <f>'§ 53'!M17</f>
        <v>19332</v>
      </c>
      <c r="L21" s="326">
        <f>'§ 53'!N17</f>
        <v>5691096.1031999998</v>
      </c>
      <c r="M21" s="329">
        <f>L21/K21</f>
        <v>294.38734239602729</v>
      </c>
    </row>
    <row r="22" spans="1:13" s="272" customFormat="1" ht="15" customHeight="1">
      <c r="A22" s="193" t="s">
        <v>121</v>
      </c>
      <c r="B22" s="349">
        <v>98</v>
      </c>
      <c r="C22" s="326">
        <v>142531</v>
      </c>
      <c r="D22" s="329">
        <f>C22/B22</f>
        <v>1454.3979591836735</v>
      </c>
      <c r="E22" s="349">
        <f>'§ 53a'!C6</f>
        <v>105</v>
      </c>
      <c r="F22" s="326">
        <f>'§ 53a'!C10</f>
        <v>152250</v>
      </c>
      <c r="G22" s="329">
        <f>F22/E22</f>
        <v>1450</v>
      </c>
      <c r="H22" s="349">
        <f>'§ 53a'!D6</f>
        <v>124</v>
      </c>
      <c r="I22" s="326">
        <f>'§ 53a'!D10</f>
        <v>186000</v>
      </c>
      <c r="J22" s="329">
        <f>I22/H22</f>
        <v>1500</v>
      </c>
      <c r="K22" s="349">
        <f>'§ 53a'!E6</f>
        <v>138</v>
      </c>
      <c r="L22" s="326">
        <f>'§ 53a'!E10</f>
        <v>216660</v>
      </c>
      <c r="M22" s="329">
        <f>L22/K22</f>
        <v>1570</v>
      </c>
    </row>
    <row r="23" spans="1:13" s="362" customFormat="1" ht="15" customHeight="1">
      <c r="A23" s="358" t="s">
        <v>199</v>
      </c>
      <c r="B23" s="359">
        <v>147</v>
      </c>
      <c r="C23" s="360">
        <v>29000</v>
      </c>
      <c r="D23" s="361">
        <f>C23/B23</f>
        <v>197.27891156462584</v>
      </c>
      <c r="E23" s="359">
        <v>145</v>
      </c>
      <c r="F23" s="360">
        <v>29500</v>
      </c>
      <c r="G23" s="361">
        <f>F23/E23</f>
        <v>203.44827586206895</v>
      </c>
      <c r="H23" s="359">
        <v>157</v>
      </c>
      <c r="I23" s="360">
        <v>29700</v>
      </c>
      <c r="J23" s="361">
        <f>I23/H23</f>
        <v>189.171974522293</v>
      </c>
      <c r="K23" s="359">
        <v>168</v>
      </c>
      <c r="L23" s="360">
        <v>29800</v>
      </c>
      <c r="M23" s="361">
        <f>L23/K23</f>
        <v>177.38095238095238</v>
      </c>
    </row>
    <row r="24" spans="1:13" s="362" customFormat="1" ht="15" customHeight="1">
      <c r="A24" s="358" t="s">
        <v>122</v>
      </c>
      <c r="B24" s="359">
        <v>1729</v>
      </c>
      <c r="C24" s="360">
        <v>325052</v>
      </c>
      <c r="D24" s="361">
        <f>C24/B24</f>
        <v>188</v>
      </c>
      <c r="E24" s="359">
        <v>8642</v>
      </c>
      <c r="F24" s="360">
        <f>E24*G24</f>
        <v>22227224</v>
      </c>
      <c r="G24" s="361">
        <v>2572</v>
      </c>
      <c r="H24" s="359">
        <v>8768</v>
      </c>
      <c r="I24" s="360">
        <f>H24*J24</f>
        <v>22603904</v>
      </c>
      <c r="J24" s="361">
        <v>2578</v>
      </c>
      <c r="K24" s="359">
        <v>8869</v>
      </c>
      <c r="L24" s="360">
        <f>K24*M24</f>
        <v>22961841</v>
      </c>
      <c r="M24" s="361">
        <v>2589</v>
      </c>
    </row>
    <row r="25" spans="1:13" s="387" customFormat="1" ht="15" customHeight="1">
      <c r="A25" s="321" t="s">
        <v>229</v>
      </c>
      <c r="B25" s="322">
        <v>0</v>
      </c>
      <c r="C25" s="325">
        <v>0</v>
      </c>
      <c r="D25" s="323">
        <v>0</v>
      </c>
      <c r="E25" s="322">
        <v>0</v>
      </c>
      <c r="F25" s="325">
        <v>0</v>
      </c>
      <c r="G25" s="323">
        <v>0</v>
      </c>
      <c r="H25" s="322">
        <v>0</v>
      </c>
      <c r="I25" s="325">
        <v>0</v>
      </c>
      <c r="J25" s="323">
        <v>0</v>
      </c>
      <c r="K25" s="322">
        <v>0</v>
      </c>
      <c r="L25" s="325">
        <v>0</v>
      </c>
      <c r="M25" s="323">
        <v>0</v>
      </c>
    </row>
    <row r="26" spans="1:13" s="354" customFormat="1" ht="15" customHeight="1">
      <c r="A26" s="350" t="s">
        <v>123</v>
      </c>
      <c r="B26" s="351">
        <v>2057</v>
      </c>
      <c r="C26" s="352">
        <v>18020932</v>
      </c>
      <c r="D26" s="353">
        <f>C26/B26</f>
        <v>8760.7836655323281</v>
      </c>
      <c r="E26" s="351">
        <f>'§ 56'!C19</f>
        <v>1926</v>
      </c>
      <c r="F26" s="352">
        <f>'§ 56'!C22</f>
        <v>9502473.120000001</v>
      </c>
      <c r="G26" s="353">
        <f>F26/E26</f>
        <v>4933.7866666666669</v>
      </c>
      <c r="H26" s="351">
        <f>'§ 56'!D19</f>
        <v>1873</v>
      </c>
      <c r="I26" s="352">
        <f>'§ 56'!D22</f>
        <v>9610450.4066666663</v>
      </c>
      <c r="J26" s="353">
        <f>I26/H26</f>
        <v>5131.0466666666662</v>
      </c>
      <c r="K26" s="351">
        <f>'§ 56'!E19</f>
        <v>1821</v>
      </c>
      <c r="L26" s="352">
        <f>'§ 56'!E22</f>
        <v>9764011.6448000018</v>
      </c>
      <c r="M26" s="353">
        <f>L26/K26</f>
        <v>5361.8954666666677</v>
      </c>
    </row>
    <row r="27" spans="1:13" s="354" customFormat="1" ht="15" customHeight="1">
      <c r="A27" s="350" t="s">
        <v>124</v>
      </c>
      <c r="B27" s="351">
        <v>489</v>
      </c>
      <c r="C27" s="352">
        <v>1080201</v>
      </c>
      <c r="D27" s="353">
        <f>C27/B27</f>
        <v>2209</v>
      </c>
      <c r="E27" s="351">
        <f>'§ 56a'!E14</f>
        <v>642</v>
      </c>
      <c r="F27" s="352">
        <f>'§ 56a'!F17</f>
        <v>938385.71999999986</v>
      </c>
      <c r="G27" s="353">
        <f>F27/E27</f>
        <v>1461.6599999999999</v>
      </c>
      <c r="H27" s="351">
        <f>'§ 56a'!E26</f>
        <v>719</v>
      </c>
      <c r="I27" s="352">
        <f>'§ 56a'!F28</f>
        <v>1088465.3400000001</v>
      </c>
      <c r="J27" s="353">
        <f>I27/H27</f>
        <v>1513.8600000000001</v>
      </c>
      <c r="K27" s="351">
        <f>'§ 56a'!L26</f>
        <v>784</v>
      </c>
      <c r="L27" s="352">
        <f>'§ 56a'!M28</f>
        <v>1232871.3599999999</v>
      </c>
      <c r="M27" s="353">
        <f>L27/K27</f>
        <v>1572.5399999999997</v>
      </c>
    </row>
    <row r="28" spans="1:13" s="354" customFormat="1" ht="15" customHeight="1">
      <c r="A28" s="350" t="s">
        <v>125</v>
      </c>
      <c r="B28" s="351">
        <v>603</v>
      </c>
      <c r="C28" s="352">
        <v>5513949</v>
      </c>
      <c r="D28" s="353">
        <f>C28/B28</f>
        <v>9144.194029850747</v>
      </c>
      <c r="E28" s="351">
        <f>'§ 57'!C19</f>
        <v>495</v>
      </c>
      <c r="F28" s="352">
        <f>'§ 57'!C22</f>
        <v>1842134.9759999998</v>
      </c>
      <c r="G28" s="353">
        <f>F28/E28</f>
        <v>3721.4847999999997</v>
      </c>
      <c r="H28" s="351">
        <f>'§ 57'!D19</f>
        <v>487</v>
      </c>
      <c r="I28" s="352">
        <f>'§ 57'!D22</f>
        <v>1884824.0224000001</v>
      </c>
      <c r="J28" s="353">
        <f>I28/H28</f>
        <v>3870.2752000000005</v>
      </c>
      <c r="K28" s="351">
        <f>'§ 57'!E19</f>
        <v>502</v>
      </c>
      <c r="L28" s="352">
        <f>'§ 57'!E22</f>
        <v>2030289.378304</v>
      </c>
      <c r="M28" s="353">
        <f>L28/K28</f>
        <v>4044.4011519999999</v>
      </c>
    </row>
    <row r="29" spans="1:13" s="387" customFormat="1" ht="15" customHeight="1">
      <c r="A29" s="321" t="s">
        <v>228</v>
      </c>
      <c r="B29" s="322">
        <v>0</v>
      </c>
      <c r="C29" s="325">
        <v>0</v>
      </c>
      <c r="D29" s="323">
        <v>0</v>
      </c>
      <c r="E29" s="322">
        <v>0</v>
      </c>
      <c r="F29" s="325">
        <v>0</v>
      </c>
      <c r="G29" s="323">
        <v>0</v>
      </c>
      <c r="H29" s="322">
        <v>0</v>
      </c>
      <c r="I29" s="325">
        <v>0</v>
      </c>
      <c r="J29" s="323">
        <v>0</v>
      </c>
      <c r="K29" s="322">
        <v>0</v>
      </c>
      <c r="L29" s="325">
        <v>0</v>
      </c>
      <c r="M29" s="323">
        <v>0</v>
      </c>
    </row>
    <row r="30" spans="1:13" s="272" customFormat="1" ht="15" customHeight="1">
      <c r="A30" s="193" t="s">
        <v>143</v>
      </c>
      <c r="B30" s="271">
        <v>646</v>
      </c>
      <c r="C30" s="326">
        <v>3872159</v>
      </c>
      <c r="D30" s="329">
        <f>C30/B30</f>
        <v>5994.0541795665631</v>
      </c>
      <c r="E30" s="271">
        <f>'§ 59'!G12</f>
        <v>363</v>
      </c>
      <c r="F30" s="326">
        <f>'§ 59'!H14</f>
        <v>1543917.2264999999</v>
      </c>
      <c r="G30" s="329">
        <f>F30/E30</f>
        <v>4253.2154999999993</v>
      </c>
      <c r="H30" s="271">
        <f>'§ 59'!G20</f>
        <v>380</v>
      </c>
      <c r="I30" s="326">
        <f>'§ 59'!H22</f>
        <v>1655857.98</v>
      </c>
      <c r="J30" s="329">
        <f>I30/H30</f>
        <v>4357.5209999999997</v>
      </c>
      <c r="K30" s="271">
        <f>'§ 59'!G28</f>
        <v>390</v>
      </c>
      <c r="L30" s="326">
        <f>'§ 59'!H30</f>
        <v>1763366.9624999999</v>
      </c>
      <c r="M30" s="329">
        <f>L30/K30</f>
        <v>4521.4537499999997</v>
      </c>
    </row>
    <row r="31" spans="1:13" s="172" customFormat="1" ht="15" customHeight="1" thickBot="1">
      <c r="A31" s="319" t="s">
        <v>126</v>
      </c>
      <c r="B31" s="320">
        <v>5306</v>
      </c>
      <c r="C31" s="327">
        <v>15733871</v>
      </c>
      <c r="D31" s="330">
        <f>C31/B31</f>
        <v>2965.2979645684131</v>
      </c>
      <c r="E31" s="320">
        <f>'§ 60'!C17</f>
        <v>4685</v>
      </c>
      <c r="F31" s="327">
        <f>'§ 60'!C23</f>
        <v>18574385.25</v>
      </c>
      <c r="G31" s="330">
        <f>F31/E31</f>
        <v>3964.6500000000001</v>
      </c>
      <c r="H31" s="320">
        <f>'§ 60'!D17</f>
        <v>4692</v>
      </c>
      <c r="I31" s="327">
        <f>'§ 60'!D23</f>
        <v>19345878.450000003</v>
      </c>
      <c r="J31" s="330">
        <f>I31/H31</f>
        <v>4123.1625000000004</v>
      </c>
      <c r="K31" s="320">
        <f>'§ 60'!E17</f>
        <v>4709</v>
      </c>
      <c r="L31" s="327">
        <f>'§ 60'!E23</f>
        <v>20289508.194000006</v>
      </c>
      <c r="M31" s="330">
        <f>L31/K31</f>
        <v>4308.6660000000011</v>
      </c>
    </row>
    <row r="32" spans="1:13" ht="15" customHeight="1" thickBot="1">
      <c r="A32" s="73"/>
      <c r="B32" s="38"/>
      <c r="C32" s="328"/>
      <c r="D32" s="328"/>
      <c r="E32" s="38"/>
      <c r="F32" s="328"/>
      <c r="G32" s="328"/>
      <c r="H32" s="38"/>
      <c r="I32" s="328"/>
      <c r="J32" s="331"/>
      <c r="K32" s="38"/>
      <c r="L32" s="328"/>
      <c r="M32" s="331"/>
    </row>
    <row r="33" spans="1:13" s="377" customFormat="1" ht="30" customHeight="1" thickBot="1">
      <c r="A33" s="364" t="s">
        <v>129</v>
      </c>
      <c r="B33" s="365">
        <f>SUM(B6:B31)</f>
        <v>128966</v>
      </c>
      <c r="C33" s="366">
        <f>SUM(C6:C31)</f>
        <v>170462105</v>
      </c>
      <c r="D33" s="367">
        <f>C33/B33</f>
        <v>1321.7600375292714</v>
      </c>
      <c r="E33" s="368">
        <f>SUM(E6:E31)</f>
        <v>130787</v>
      </c>
      <c r="F33" s="369">
        <f>SUM(F6:F31)</f>
        <v>166425528.0406</v>
      </c>
      <c r="G33" s="370">
        <f>F33/E33</f>
        <v>1272.4928933349645</v>
      </c>
      <c r="H33" s="371">
        <f>SUM(H6:H31)</f>
        <v>134893</v>
      </c>
      <c r="I33" s="372">
        <f>SUM(I6:I31)</f>
        <v>174606977.53475291</v>
      </c>
      <c r="J33" s="373">
        <f>I33/H33</f>
        <v>1294.4109593140704</v>
      </c>
      <c r="K33" s="374">
        <f>SUM(K6:K31)</f>
        <v>135485</v>
      </c>
      <c r="L33" s="375">
        <f>SUM(L6:L31)</f>
        <v>180192567.67781428</v>
      </c>
      <c r="M33" s="376">
        <f>L33/K33</f>
        <v>1329.9816782508342</v>
      </c>
    </row>
    <row r="34" spans="1:13" s="172" customFormat="1" ht="15" customHeight="1">
      <c r="A34" s="196"/>
      <c r="B34" s="169"/>
      <c r="C34" s="170"/>
      <c r="D34" s="177"/>
      <c r="E34" s="169"/>
      <c r="F34" s="170"/>
      <c r="G34" s="171"/>
      <c r="H34" s="169"/>
      <c r="I34" s="170"/>
      <c r="J34" s="171"/>
      <c r="K34" s="169"/>
      <c r="L34" s="170"/>
      <c r="M34" s="171"/>
    </row>
    <row r="35" spans="1:3" s="356" customFormat="1" ht="12.75">
      <c r="A35" s="356" t="s">
        <v>230</v>
      </c>
      <c r="C35" s="357"/>
    </row>
    <row r="36" spans="1:1" s="355" customFormat="1" ht="12.75">
      <c r="A36" s="412" t="s">
        <v>244</v>
      </c>
    </row>
    <row r="37" spans="1:3" ht="12.75">
      <c r="A37" s="31" t="s">
        <v>243</v>
      </c>
      <c r="C37" s="34"/>
    </row>
    <row r="38" spans="1:1" s="363" customFormat="1" ht="12.75">
      <c r="A38" s="363" t="s">
        <v>231</v>
      </c>
    </row>
    <row r="40" spans="1:8" ht="54" customHeight="1">
      <c r="A40" s="644" t="s">
        <v>250</v>
      </c>
      <c r="B40" s="645"/>
      <c r="C40" s="645"/>
      <c r="D40" s="645"/>
      <c r="E40" s="645"/>
      <c r="F40" s="645"/>
      <c r="G40" s="645"/>
      <c r="H40" s="645"/>
    </row>
  </sheetData>
  <sheetProtection/>
  <mergeCells count="8">
    <mergeCell ref="A40:H40"/>
    <mergeCell ref="A3:A5"/>
    <mergeCell ref="B3:D3"/>
    <mergeCell ref="E3:M3"/>
    <mergeCell ref="K4:M4"/>
    <mergeCell ref="E4:G4"/>
    <mergeCell ref="H4:J4"/>
    <mergeCell ref="B4:D4"/>
  </mergeCells>
  <pageMargins left="0.393700787401575" right="0.393700787401575" top="0.393700787401575" bottom="0.393700787401575" header="0.31496062992126" footer="0.31496062992126"/>
  <pageSetup orientation="landscape" paperSize="9" scale="6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T142"/>
  <sheetViews>
    <sheetView tabSelected="1" workbookViewId="0" topLeftCell="D34">
      <selection pane="topLeft" activeCell="G61" sqref="G61"/>
    </sheetView>
  </sheetViews>
  <sheetFormatPr defaultRowHeight="12.75"/>
  <cols>
    <col min="4" max="4" width="11.2857142857143" customWidth="1"/>
    <col min="5" max="5" width="12.8571428571429" customWidth="1"/>
    <col min="6" max="6" width="12.2857142857143" customWidth="1"/>
    <col min="8" max="8" width="16" customWidth="1"/>
    <col min="9" max="9" width="11" hidden="1" customWidth="1"/>
    <col min="10" max="11" width="9.28571428571429" bestFit="1" customWidth="1"/>
    <col min="12" max="12" width="11.4285714285714" customWidth="1"/>
    <col min="13" max="13" width="11.1428571428571" customWidth="1"/>
    <col min="19" max="19" width="9.85714285714286" customWidth="1"/>
  </cols>
  <sheetData>
    <row r="1" spans="1:1" ht="12.75">
      <c r="A1" s="1" t="s">
        <v>0</v>
      </c>
    </row>
    <row r="2" spans="1:15" ht="12.75">
      <c r="A2" s="442" t="s">
        <v>173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</row>
    <row r="3" spans="1:15" ht="12.75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</row>
    <row r="4" spans="10:10" ht="12.75">
      <c r="J4" s="103" t="s">
        <v>166</v>
      </c>
    </row>
    <row r="5" spans="1:10" ht="14.25">
      <c r="A5" s="426" t="s">
        <v>23</v>
      </c>
      <c r="B5" s="426"/>
      <c r="C5" s="426"/>
      <c r="D5" s="426"/>
      <c r="E5" s="426"/>
      <c r="F5" s="426"/>
      <c r="G5" s="426"/>
      <c r="H5" s="426"/>
      <c r="I5" s="21">
        <f>J5*30.126</f>
        <v>22413.744000000002</v>
      </c>
      <c r="J5" s="8">
        <v>744</v>
      </c>
    </row>
    <row r="6" spans="1:10" ht="14.25">
      <c r="A6" s="426" t="s">
        <v>145</v>
      </c>
      <c r="B6" s="426"/>
      <c r="C6" s="426"/>
      <c r="D6" s="426"/>
      <c r="E6" s="426"/>
      <c r="F6" s="426"/>
      <c r="G6" s="426"/>
      <c r="H6" s="426"/>
      <c r="I6" s="21">
        <f>J6*30.126</f>
        <v>23046.389999999999</v>
      </c>
      <c r="J6" s="8">
        <v>765</v>
      </c>
    </row>
    <row r="7" spans="1:10" ht="14.25">
      <c r="A7" s="426" t="s">
        <v>248</v>
      </c>
      <c r="B7" s="426"/>
      <c r="C7" s="426"/>
      <c r="D7" s="426"/>
      <c r="E7" s="426"/>
      <c r="F7" s="426"/>
      <c r="G7" s="426"/>
      <c r="H7" s="426"/>
      <c r="I7" s="21">
        <f>J7*30.126</f>
        <v>23558.531999999999</v>
      </c>
      <c r="J7" s="8">
        <v>782</v>
      </c>
    </row>
    <row r="8" spans="1:10" ht="14.25" customHeight="1">
      <c r="A8" s="22" t="s">
        <v>175</v>
      </c>
      <c r="B8" s="23"/>
      <c r="C8" s="23"/>
      <c r="D8" s="23"/>
      <c r="E8" s="23"/>
      <c r="F8" s="23"/>
      <c r="G8" s="23"/>
      <c r="H8" s="24"/>
      <c r="I8" s="21"/>
      <c r="J8" s="8">
        <f>(J7*0.04)+J7</f>
        <v>813.27999999999997</v>
      </c>
    </row>
    <row r="9" spans="1:10" ht="14.25" customHeight="1">
      <c r="A9" s="22" t="s">
        <v>176</v>
      </c>
      <c r="B9" s="23"/>
      <c r="C9" s="23"/>
      <c r="D9" s="23"/>
      <c r="E9" s="23"/>
      <c r="F9" s="23"/>
      <c r="G9" s="23"/>
      <c r="H9" s="24"/>
      <c r="I9" s="21"/>
      <c r="J9" s="8">
        <f>(J8*0.045)+J8</f>
        <v>849.87760000000003</v>
      </c>
    </row>
    <row r="10" spans="1:10" ht="12.75">
      <c r="A10" s="22"/>
      <c r="B10" s="23"/>
      <c r="C10" s="23"/>
      <c r="D10" s="23"/>
      <c r="E10" s="23"/>
      <c r="F10" s="23"/>
      <c r="G10" s="23"/>
      <c r="H10" s="24"/>
      <c r="I10" s="21"/>
      <c r="J10" s="8"/>
    </row>
    <row r="11" spans="1:10" ht="12.75">
      <c r="A11" s="440" t="s">
        <v>24</v>
      </c>
      <c r="B11" s="438"/>
      <c r="C11" s="438"/>
      <c r="D11" s="438"/>
      <c r="E11" s="438"/>
      <c r="F11" s="438"/>
      <c r="G11" s="438"/>
      <c r="H11" s="438"/>
      <c r="I11" s="25">
        <f>J11*30.126</f>
        <v>9549.9420000000009</v>
      </c>
      <c r="J11" s="8">
        <v>317</v>
      </c>
    </row>
    <row r="12" spans="1:10" ht="12.75">
      <c r="A12" s="30" t="s">
        <v>147</v>
      </c>
      <c r="B12" s="23"/>
      <c r="C12" s="23"/>
      <c r="D12" s="23"/>
      <c r="E12" s="23"/>
      <c r="F12" s="23"/>
      <c r="G12" s="23"/>
      <c r="H12" s="23"/>
      <c r="I12" s="25"/>
      <c r="J12" s="8">
        <v>327.20</v>
      </c>
    </row>
    <row r="13" spans="1:10" ht="12.75">
      <c r="A13" s="30" t="s">
        <v>235</v>
      </c>
      <c r="B13" s="23"/>
      <c r="C13" s="23"/>
      <c r="D13" s="23"/>
      <c r="E13" s="23"/>
      <c r="F13" s="23"/>
      <c r="G13" s="23"/>
      <c r="H13" s="23"/>
      <c r="I13" s="25"/>
      <c r="J13" s="8">
        <v>337.70</v>
      </c>
    </row>
    <row r="14" spans="1:10" ht="12.75">
      <c r="A14" s="30" t="s">
        <v>33</v>
      </c>
      <c r="B14" s="23"/>
      <c r="C14" s="23"/>
      <c r="D14" s="23"/>
      <c r="E14" s="23"/>
      <c r="F14" s="23"/>
      <c r="G14" s="23"/>
      <c r="H14" s="23"/>
      <c r="I14" s="25"/>
      <c r="J14" s="8">
        <f>(J13*0.03)+J13</f>
        <v>347.83099999999996</v>
      </c>
    </row>
    <row r="15" spans="1:10" ht="12.75">
      <c r="A15" s="30" t="s">
        <v>159</v>
      </c>
      <c r="B15" s="23"/>
      <c r="C15" s="23"/>
      <c r="D15" s="23"/>
      <c r="E15" s="23"/>
      <c r="F15" s="23"/>
      <c r="G15" s="23"/>
      <c r="H15" s="23"/>
      <c r="I15" s="25"/>
      <c r="J15" s="8">
        <f>(J14*0.03)+J14</f>
        <v>358.26592999999997</v>
      </c>
    </row>
    <row r="16" spans="1:10" ht="12.75">
      <c r="A16" s="440" t="s">
        <v>21</v>
      </c>
      <c r="B16" s="438"/>
      <c r="C16" s="438"/>
      <c r="D16" s="438"/>
      <c r="E16" s="438"/>
      <c r="F16" s="438"/>
      <c r="G16" s="438"/>
      <c r="H16" s="439"/>
      <c r="I16" s="21">
        <f>J16*30.126</f>
        <v>5584.7578800000001</v>
      </c>
      <c r="J16" s="8">
        <v>185.38</v>
      </c>
    </row>
    <row r="17" spans="1:10" ht="12.75">
      <c r="A17" s="437" t="s">
        <v>148</v>
      </c>
      <c r="B17" s="438"/>
      <c r="C17" s="438"/>
      <c r="D17" s="438"/>
      <c r="E17" s="438"/>
      <c r="F17" s="438"/>
      <c r="G17" s="438"/>
      <c r="H17" s="439"/>
      <c r="I17" s="21">
        <f>J17*30.126</f>
        <v>5718.7920691199997</v>
      </c>
      <c r="J17" s="8">
        <f>(J16*0.024)+J16</f>
        <v>189.82911999999999</v>
      </c>
    </row>
    <row r="18" spans="1:10" ht="12.75">
      <c r="A18" s="440" t="s">
        <v>177</v>
      </c>
      <c r="B18" s="438"/>
      <c r="C18" s="438"/>
      <c r="D18" s="438"/>
      <c r="E18" s="438"/>
      <c r="F18" s="438"/>
      <c r="G18" s="438"/>
      <c r="H18" s="439"/>
      <c r="I18" s="21">
        <f>J18*30.126</f>
        <v>5861.9170800000002</v>
      </c>
      <c r="J18" s="8">
        <v>194.58</v>
      </c>
    </row>
    <row r="19" spans="1:10" ht="14.25">
      <c r="A19" s="437" t="s">
        <v>150</v>
      </c>
      <c r="B19" s="438"/>
      <c r="C19" s="438"/>
      <c r="D19" s="438"/>
      <c r="E19" s="438"/>
      <c r="F19" s="438"/>
      <c r="G19" s="438"/>
      <c r="H19" s="438"/>
      <c r="I19" s="27">
        <f>J19*30.126</f>
        <v>6008.4650070000007</v>
      </c>
      <c r="J19" s="8">
        <f>(J18*0.025)+J18</f>
        <v>199.44450000000001</v>
      </c>
    </row>
    <row r="20" spans="1:10" ht="14.25">
      <c r="A20" s="437" t="s">
        <v>157</v>
      </c>
      <c r="B20" s="438"/>
      <c r="C20" s="438"/>
      <c r="D20" s="438"/>
      <c r="E20" s="438"/>
      <c r="F20" s="438"/>
      <c r="G20" s="438"/>
      <c r="H20" s="438"/>
      <c r="I20" s="27">
        <f>J20*30.126</f>
        <v>6158.6766321750001</v>
      </c>
      <c r="J20" s="8">
        <f>(J19*0.025)+J19</f>
        <v>204.4306125</v>
      </c>
    </row>
    <row r="21" spans="1:10" ht="14.25">
      <c r="A21" s="3" t="s">
        <v>194</v>
      </c>
      <c r="B21" s="3"/>
      <c r="C21" s="3"/>
      <c r="D21" s="3"/>
      <c r="E21" s="3"/>
      <c r="F21" s="3"/>
      <c r="G21" s="3"/>
      <c r="H21" s="3"/>
      <c r="I21" s="21"/>
      <c r="J21" s="8">
        <f>(J20*0.025)+J20</f>
        <v>209.5413778125</v>
      </c>
    </row>
    <row r="22" spans="1:1" ht="12.75">
      <c r="A22" t="s">
        <v>22</v>
      </c>
    </row>
    <row r="23" spans="1:9" ht="12.75">
      <c r="A23" s="441" t="s">
        <v>174</v>
      </c>
      <c r="B23" s="441"/>
      <c r="C23" s="441"/>
      <c r="D23" s="441"/>
      <c r="E23" s="441"/>
      <c r="F23" s="441"/>
      <c r="G23" s="441"/>
      <c r="H23" s="441"/>
      <c r="I23" s="441"/>
    </row>
    <row r="24" spans="1:9" ht="12.75">
      <c r="A24" s="4" t="s">
        <v>25</v>
      </c>
      <c r="B24" s="4"/>
      <c r="C24" s="4"/>
      <c r="D24" s="4"/>
      <c r="E24" s="4"/>
      <c r="F24" s="4"/>
      <c r="G24" s="4"/>
      <c r="H24" s="4"/>
      <c r="I24" s="4"/>
    </row>
    <row r="26" spans="1:20" ht="12.75">
      <c r="A26" s="436" t="s">
        <v>26</v>
      </c>
      <c r="B26" s="436"/>
      <c r="C26" s="436"/>
      <c r="D26" s="436"/>
      <c r="E26" s="436"/>
      <c r="F26" s="436"/>
      <c r="H26" s="435" t="s">
        <v>28</v>
      </c>
      <c r="I26" s="435"/>
      <c r="J26" s="435"/>
      <c r="K26" s="435"/>
      <c r="L26" s="435"/>
      <c r="M26" s="435"/>
      <c r="O26" s="435" t="s">
        <v>236</v>
      </c>
      <c r="P26" s="435"/>
      <c r="Q26" s="435"/>
      <c r="R26" s="435"/>
      <c r="S26" s="435"/>
      <c r="T26" s="435"/>
    </row>
    <row r="27" spans="1:20" ht="12.75">
      <c r="A27" s="427" t="s">
        <v>166</v>
      </c>
      <c r="B27" s="427"/>
      <c r="C27" s="427"/>
      <c r="D27" s="3" t="s">
        <v>3</v>
      </c>
      <c r="E27" s="8">
        <f>J17*2</f>
        <v>379.65823999999998</v>
      </c>
      <c r="F27" s="8">
        <f>E27</f>
        <v>379.65823999999998</v>
      </c>
      <c r="H27" s="427" t="s">
        <v>166</v>
      </c>
      <c r="I27" s="427"/>
      <c r="J27" s="427"/>
      <c r="K27" s="3" t="s">
        <v>3</v>
      </c>
      <c r="L27" s="8">
        <v>317</v>
      </c>
      <c r="M27" s="8">
        <f>L27</f>
        <v>317</v>
      </c>
      <c r="O27" s="427" t="s">
        <v>166</v>
      </c>
      <c r="P27" s="427"/>
      <c r="Q27" s="427"/>
      <c r="R27" s="3" t="s">
        <v>3</v>
      </c>
      <c r="S27" s="8">
        <f>J13</f>
        <v>337.69999999999999</v>
      </c>
      <c r="T27" s="8">
        <f>S27</f>
        <v>337.69999999999999</v>
      </c>
    </row>
    <row r="28" spans="1:20" ht="12.75">
      <c r="A28" s="428" t="s">
        <v>4</v>
      </c>
      <c r="B28" s="428"/>
      <c r="C28" s="428"/>
      <c r="D28" s="5">
        <v>14</v>
      </c>
      <c r="E28" s="226">
        <f>E27/100*D28</f>
        <v>53.152153599999998</v>
      </c>
      <c r="F28" s="8">
        <f t="shared" si="0" ref="F28:F35">FLOOR(E28,0.01)</f>
        <v>53.149999999999999</v>
      </c>
      <c r="H28" s="428" t="s">
        <v>4</v>
      </c>
      <c r="I28" s="428"/>
      <c r="J28" s="428"/>
      <c r="K28" s="5">
        <v>14</v>
      </c>
      <c r="L28" s="226">
        <f>L27/100*K28</f>
        <v>44.379999999999995</v>
      </c>
      <c r="M28" s="8">
        <f t="shared" si="1" ref="M28:M35">FLOOR(L28,0.01)</f>
        <v>44.380000000000003</v>
      </c>
      <c r="O28" s="428" t="s">
        <v>4</v>
      </c>
      <c r="P28" s="428"/>
      <c r="Q28" s="428"/>
      <c r="R28" s="5">
        <v>14</v>
      </c>
      <c r="S28" s="226">
        <f>S27/100*R28</f>
        <v>47.277999999999999</v>
      </c>
      <c r="T28" s="8">
        <f t="shared" si="2" ref="T28:T35">FLOOR(S28,0.01)</f>
        <v>47.270000000000003</v>
      </c>
    </row>
    <row r="29" spans="1:20" ht="12.75">
      <c r="A29" s="426" t="s">
        <v>5</v>
      </c>
      <c r="B29" s="426"/>
      <c r="C29" s="426"/>
      <c r="D29" s="9">
        <v>1.40</v>
      </c>
      <c r="E29" s="226">
        <f>E27/100*D29</f>
        <v>5.3152153599999989</v>
      </c>
      <c r="F29" s="8">
        <f>FLOOR(E29,0.01)</f>
        <v>5.3100000000000005</v>
      </c>
      <c r="H29" s="426" t="s">
        <v>5</v>
      </c>
      <c r="I29" s="426"/>
      <c r="J29" s="426"/>
      <c r="K29" s="9">
        <v>1.40</v>
      </c>
      <c r="L29" s="226">
        <f>L27/100*K29</f>
        <v>4.4379999999999997</v>
      </c>
      <c r="M29" s="8">
        <f>FLOOR(L29,0.01)</f>
        <v>4.4299999999999997</v>
      </c>
      <c r="O29" s="426" t="s">
        <v>5</v>
      </c>
      <c r="P29" s="426"/>
      <c r="Q29" s="426"/>
      <c r="R29" s="9">
        <v>1.40</v>
      </c>
      <c r="S29" s="226">
        <f>S27/100*R29</f>
        <v>4.7277999999999993</v>
      </c>
      <c r="T29" s="8">
        <f>FLOOR(S29,0.01)</f>
        <v>4.7199999999999998</v>
      </c>
    </row>
    <row r="30" spans="1:20" ht="12.75">
      <c r="A30" s="3" t="s">
        <v>6</v>
      </c>
      <c r="B30" s="3"/>
      <c r="C30" s="3"/>
      <c r="D30" s="9">
        <v>1</v>
      </c>
      <c r="E30" s="226">
        <f>E27/100*D30</f>
        <v>3.7965823999999997</v>
      </c>
      <c r="F30" s="8">
        <f>FLOOR(E30,0.01)</f>
        <v>3.79</v>
      </c>
      <c r="H30" s="3" t="s">
        <v>6</v>
      </c>
      <c r="I30" s="3"/>
      <c r="J30" s="3"/>
      <c r="K30" s="9">
        <v>1</v>
      </c>
      <c r="L30" s="226">
        <f>L27/100*K30</f>
        <v>3.1699999999999999</v>
      </c>
      <c r="M30" s="8">
        <f>FLOOR(L30,0.01)</f>
        <v>3.1699999999999999</v>
      </c>
      <c r="O30" s="3" t="s">
        <v>6</v>
      </c>
      <c r="P30" s="3"/>
      <c r="Q30" s="3"/>
      <c r="R30" s="9">
        <v>1</v>
      </c>
      <c r="S30" s="226">
        <f>S27/100*R30</f>
        <v>3.3769999999999998</v>
      </c>
      <c r="T30" s="8">
        <f>FLOOR(S30,0.01)</f>
        <v>3.3700000000000001</v>
      </c>
    </row>
    <row r="31" spans="1:20" ht="12.75">
      <c r="A31" s="426" t="s">
        <v>7</v>
      </c>
      <c r="B31" s="426"/>
      <c r="C31" s="426"/>
      <c r="D31" s="9">
        <v>3</v>
      </c>
      <c r="E31" s="226">
        <f>E27/100*D31</f>
        <v>11.389747199999999</v>
      </c>
      <c r="F31" s="8">
        <f>FLOOR(E31,0.01)</f>
        <v>11.380000000000001</v>
      </c>
      <c r="H31" s="426" t="s">
        <v>7</v>
      </c>
      <c r="I31" s="426"/>
      <c r="J31" s="426"/>
      <c r="K31" s="9">
        <v>3</v>
      </c>
      <c r="L31" s="226">
        <f>L27/100*K31</f>
        <v>9.5099999999999998</v>
      </c>
      <c r="M31" s="8">
        <f>FLOOR(L31,0.01)</f>
        <v>9.5099999999999998</v>
      </c>
      <c r="O31" s="426" t="s">
        <v>7</v>
      </c>
      <c r="P31" s="426"/>
      <c r="Q31" s="426"/>
      <c r="R31" s="9">
        <v>3</v>
      </c>
      <c r="S31" s="226">
        <f>S27/100*R31</f>
        <v>10.131</v>
      </c>
      <c r="T31" s="8">
        <f>FLOOR(S31,0.01)</f>
        <v>10.130000000000001</v>
      </c>
    </row>
    <row r="32" spans="1:20" ht="12.75">
      <c r="A32" s="426" t="s">
        <v>8</v>
      </c>
      <c r="B32" s="426"/>
      <c r="C32" s="426"/>
      <c r="D32" s="9">
        <v>0.80</v>
      </c>
      <c r="E32" s="226">
        <f>E27/100*D32</f>
        <v>3.0372659199999998</v>
      </c>
      <c r="F32" s="8">
        <f>FLOOR(E32,0.01)</f>
        <v>3.0300000000000002</v>
      </c>
      <c r="H32" s="426" t="s">
        <v>8</v>
      </c>
      <c r="I32" s="426"/>
      <c r="J32" s="426"/>
      <c r="K32" s="9">
        <v>0.80</v>
      </c>
      <c r="L32" s="226">
        <f>L27/100*K32</f>
        <v>2.536</v>
      </c>
      <c r="M32" s="8">
        <f>FLOOR(L32,0.01)</f>
        <v>2.5300000000000002</v>
      </c>
      <c r="O32" s="426" t="s">
        <v>8</v>
      </c>
      <c r="P32" s="426"/>
      <c r="Q32" s="426"/>
      <c r="R32" s="9">
        <v>0.80</v>
      </c>
      <c r="S32" s="226">
        <f>S27/100*R32</f>
        <v>2.7016</v>
      </c>
      <c r="T32" s="8">
        <f>FLOOR(S32,0.01)</f>
        <v>2.7000000000000002</v>
      </c>
    </row>
    <row r="33" spans="1:20" ht="12.75">
      <c r="A33" s="426" t="s">
        <v>9</v>
      </c>
      <c r="B33" s="426"/>
      <c r="C33" s="426"/>
      <c r="D33" s="9">
        <v>0.25</v>
      </c>
      <c r="E33" s="226">
        <f>E27/100*D33</f>
        <v>0.94914559999999992</v>
      </c>
      <c r="F33" s="8">
        <f>FLOOR(E33,0.01)</f>
        <v>0.94000000000000006</v>
      </c>
      <c r="H33" s="426" t="s">
        <v>9</v>
      </c>
      <c r="I33" s="426"/>
      <c r="J33" s="426"/>
      <c r="K33" s="9">
        <v>0.25</v>
      </c>
      <c r="L33" s="226">
        <f>L27/100*K33</f>
        <v>0.79249999999999998</v>
      </c>
      <c r="M33" s="8">
        <f>FLOOR(L33,0.01)</f>
        <v>0.79000000000000004</v>
      </c>
      <c r="O33" s="426" t="s">
        <v>9</v>
      </c>
      <c r="P33" s="426"/>
      <c r="Q33" s="426"/>
      <c r="R33" s="9">
        <v>0.25</v>
      </c>
      <c r="S33" s="226">
        <f>S27/100*R33</f>
        <v>0.84424999999999994</v>
      </c>
      <c r="T33" s="8">
        <f>FLOOR(S33,0.01)</f>
        <v>0.83999999999999997</v>
      </c>
    </row>
    <row r="34" spans="1:20" ht="12.75">
      <c r="A34" s="426" t="s">
        <v>10</v>
      </c>
      <c r="B34" s="426"/>
      <c r="C34" s="426"/>
      <c r="D34" s="9">
        <v>4.75</v>
      </c>
      <c r="E34" s="226">
        <f>E27/100*D34</f>
        <v>18.033766399999998</v>
      </c>
      <c r="F34" s="8">
        <f>FLOOR(E34,0.01)</f>
        <v>18.030000000000001</v>
      </c>
      <c r="H34" s="426" t="s">
        <v>10</v>
      </c>
      <c r="I34" s="426"/>
      <c r="J34" s="426"/>
      <c r="K34" s="9">
        <v>4.75</v>
      </c>
      <c r="L34" s="226">
        <f>L27/100*K34</f>
        <v>15.057499999999999</v>
      </c>
      <c r="M34" s="8">
        <f>FLOOR(L34,0.01)</f>
        <v>15.050000000000001</v>
      </c>
      <c r="O34" s="426" t="s">
        <v>10</v>
      </c>
      <c r="P34" s="426"/>
      <c r="Q34" s="426"/>
      <c r="R34" s="9">
        <v>4.75</v>
      </c>
      <c r="S34" s="226">
        <f>S27/100*R34</f>
        <v>16.040749999999999</v>
      </c>
      <c r="T34" s="8">
        <f>FLOOR(S34,0.01)</f>
        <v>16.039999999999999</v>
      </c>
    </row>
    <row r="35" spans="1:20" ht="12.75">
      <c r="A35" s="426" t="s">
        <v>11</v>
      </c>
      <c r="B35" s="426"/>
      <c r="C35" s="426"/>
      <c r="D35" s="9">
        <v>10</v>
      </c>
      <c r="E35" s="226">
        <f>E27/100*D35</f>
        <v>37.965823999999998</v>
      </c>
      <c r="F35" s="8">
        <f>FLOOR(E35,0.01)</f>
        <v>37.960000000000001</v>
      </c>
      <c r="H35" s="426" t="s">
        <v>11</v>
      </c>
      <c r="I35" s="426"/>
      <c r="J35" s="426"/>
      <c r="K35" s="9">
        <v>10</v>
      </c>
      <c r="L35" s="226">
        <f>L27/100*K35</f>
        <v>31.699999999999999</v>
      </c>
      <c r="M35" s="8">
        <f>FLOOR(L35,0.01)</f>
        <v>31.699999999999999</v>
      </c>
      <c r="O35" s="426" t="s">
        <v>11</v>
      </c>
      <c r="P35" s="426"/>
      <c r="Q35" s="426"/>
      <c r="R35" s="9">
        <v>10</v>
      </c>
      <c r="S35" s="226">
        <f>S27/100*R35</f>
        <v>33.769999999999996</v>
      </c>
      <c r="T35" s="8">
        <f>FLOOR(S35,0.01)</f>
        <v>33.770000000000003</v>
      </c>
    </row>
    <row r="36" spans="1:20" ht="12.75">
      <c r="A36" s="429" t="s">
        <v>12</v>
      </c>
      <c r="B36" s="430"/>
      <c r="C36" s="431"/>
      <c r="D36" s="10">
        <f>SUM(D28:D35)</f>
        <v>35.200000000000003</v>
      </c>
      <c r="E36" s="226">
        <f>SUM(E28:E35)</f>
        <v>133.63970047999999</v>
      </c>
      <c r="F36" s="12">
        <f>SUM(F28:F35)</f>
        <v>133.59</v>
      </c>
      <c r="H36" s="429" t="s">
        <v>12</v>
      </c>
      <c r="I36" s="430"/>
      <c r="J36" s="431"/>
      <c r="K36" s="10">
        <f>SUM(K28:K35)</f>
        <v>35.200000000000003</v>
      </c>
      <c r="L36" s="226">
        <f>SUM(L28:L35)</f>
        <v>111.584</v>
      </c>
      <c r="M36" s="12">
        <f>SUM(M28:M35)</f>
        <v>111.56</v>
      </c>
      <c r="O36" s="429" t="s">
        <v>12</v>
      </c>
      <c r="P36" s="430"/>
      <c r="Q36" s="431"/>
      <c r="R36" s="10">
        <f>SUM(R28:R35)</f>
        <v>35.200000000000003</v>
      </c>
      <c r="S36" s="226">
        <f>SUM(S28:S35)</f>
        <v>118.8704</v>
      </c>
      <c r="T36" s="12">
        <f>SUM(T28:T35)</f>
        <v>118.84</v>
      </c>
    </row>
    <row r="37" spans="5:20" ht="12.75">
      <c r="E37" s="227"/>
      <c r="F37" s="224"/>
      <c r="L37" s="227"/>
      <c r="M37" s="224"/>
      <c r="S37" s="227"/>
      <c r="T37" s="224"/>
    </row>
    <row r="38" spans="1:20" ht="12.75">
      <c r="A38" s="432" t="s">
        <v>13</v>
      </c>
      <c r="B38" s="432"/>
      <c r="C38" s="432"/>
      <c r="E38" s="226">
        <f>E27+E36</f>
        <v>513.29794047999997</v>
      </c>
      <c r="F38" s="225">
        <f>F27+F36</f>
        <v>513.24824000000001</v>
      </c>
      <c r="H38" s="432" t="s">
        <v>13</v>
      </c>
      <c r="I38" s="432"/>
      <c r="J38" s="432"/>
      <c r="L38" s="226">
        <f>L27+L36</f>
        <v>428.584</v>
      </c>
      <c r="M38" s="225">
        <f>M27+M36</f>
        <v>428.56</v>
      </c>
      <c r="O38" s="432" t="s">
        <v>13</v>
      </c>
      <c r="P38" s="432"/>
      <c r="Q38" s="432"/>
      <c r="S38" s="226">
        <f>S27+S36</f>
        <v>456.57040000000001</v>
      </c>
      <c r="T38" s="225">
        <f>T27+T36</f>
        <v>456.53999999999996</v>
      </c>
    </row>
    <row r="39" spans="8:13" ht="12.75">
      <c r="H39" s="28"/>
      <c r="I39" s="28"/>
      <c r="J39" s="28"/>
      <c r="K39" s="28"/>
      <c r="L39" s="28"/>
      <c r="M39" s="28"/>
    </row>
    <row r="40" spans="1:7" ht="12.75">
      <c r="A40" s="29"/>
      <c r="B40" s="28"/>
      <c r="C40" s="28"/>
      <c r="D40" s="28"/>
      <c r="E40" s="28"/>
      <c r="F40" s="28"/>
      <c r="G40" s="28"/>
    </row>
    <row r="41" spans="1:20" ht="12.75">
      <c r="A41" s="436" t="s">
        <v>27</v>
      </c>
      <c r="B41" s="436"/>
      <c r="C41" s="436"/>
      <c r="D41" s="436"/>
      <c r="E41" s="436"/>
      <c r="F41" s="436"/>
      <c r="G41" s="28"/>
      <c r="H41" s="435" t="s">
        <v>237</v>
      </c>
      <c r="I41" s="435"/>
      <c r="J41" s="435"/>
      <c r="K41" s="435"/>
      <c r="L41" s="435"/>
      <c r="M41" s="435"/>
      <c r="O41" s="435" t="s">
        <v>132</v>
      </c>
      <c r="P41" s="435"/>
      <c r="Q41" s="435"/>
      <c r="R41" s="435"/>
      <c r="S41" s="435"/>
      <c r="T41" s="435"/>
    </row>
    <row r="42" spans="1:20" ht="12.75">
      <c r="A42" s="427" t="s">
        <v>166</v>
      </c>
      <c r="B42" s="427"/>
      <c r="C42" s="427"/>
      <c r="D42" s="3" t="s">
        <v>3</v>
      </c>
      <c r="E42" s="8">
        <f>J18*2</f>
        <v>389.16000000000002</v>
      </c>
      <c r="F42" s="8">
        <f>E42</f>
        <v>389.16000000000002</v>
      </c>
      <c r="G42" s="28"/>
      <c r="H42" s="427" t="s">
        <v>166</v>
      </c>
      <c r="I42" s="427"/>
      <c r="J42" s="427"/>
      <c r="K42" s="3" t="s">
        <v>3</v>
      </c>
      <c r="L42" s="8">
        <f>J12</f>
        <v>327.19999999999999</v>
      </c>
      <c r="M42" s="8">
        <f>L42</f>
        <v>327.19999999999999</v>
      </c>
      <c r="O42" s="427" t="s">
        <v>166</v>
      </c>
      <c r="P42" s="427"/>
      <c r="Q42" s="427"/>
      <c r="R42" s="3" t="s">
        <v>3</v>
      </c>
      <c r="S42" s="8">
        <f>J14</f>
        <v>347.83099999999996</v>
      </c>
      <c r="T42" s="8">
        <f>S42</f>
        <v>347.83099999999996</v>
      </c>
    </row>
    <row r="43" spans="1:20" ht="12.75">
      <c r="A43" s="428" t="s">
        <v>4</v>
      </c>
      <c r="B43" s="428"/>
      <c r="C43" s="428"/>
      <c r="D43" s="5">
        <v>14</v>
      </c>
      <c r="E43" s="226">
        <f>E42/100*D43</f>
        <v>54.482400000000005</v>
      </c>
      <c r="F43" s="8">
        <f t="shared" si="3" ref="F43:F50">FLOOR(E43,0.01)</f>
        <v>54.480000000000004</v>
      </c>
      <c r="G43" s="28"/>
      <c r="H43" s="428" t="s">
        <v>4</v>
      </c>
      <c r="I43" s="428"/>
      <c r="J43" s="428"/>
      <c r="K43" s="5">
        <v>14</v>
      </c>
      <c r="L43" s="226">
        <f>L42/100*K43</f>
        <v>45.808</v>
      </c>
      <c r="M43" s="8">
        <f t="shared" si="4" ref="M43:M50">FLOOR(L43,0.01)</f>
        <v>45.800000000000004</v>
      </c>
      <c r="O43" s="428" t="s">
        <v>4</v>
      </c>
      <c r="P43" s="428"/>
      <c r="Q43" s="428"/>
      <c r="R43" s="5">
        <v>14</v>
      </c>
      <c r="S43" s="226">
        <f>S42/100*R43</f>
        <v>48.696339999999992</v>
      </c>
      <c r="T43" s="8">
        <f t="shared" si="5" ref="T43:T50">FLOOR(S43,0.01)</f>
        <v>48.689999999999998</v>
      </c>
    </row>
    <row r="44" spans="1:20" ht="12.75">
      <c r="A44" s="426" t="s">
        <v>5</v>
      </c>
      <c r="B44" s="426"/>
      <c r="C44" s="426"/>
      <c r="D44" s="9">
        <v>1.40</v>
      </c>
      <c r="E44" s="226">
        <f>E42/100*D44</f>
        <v>5.4482400000000002</v>
      </c>
      <c r="F44" s="8">
        <f>FLOOR(E44,0.01)</f>
        <v>5.4400000000000004</v>
      </c>
      <c r="G44" s="28"/>
      <c r="H44" s="426" t="s">
        <v>5</v>
      </c>
      <c r="I44" s="426"/>
      <c r="J44" s="426"/>
      <c r="K44" s="9">
        <v>1.40</v>
      </c>
      <c r="L44" s="226">
        <f>L42/100*K44</f>
        <v>4.5807999999999991</v>
      </c>
      <c r="M44" s="8">
        <f>FLOOR(L44,0.01)</f>
        <v>4.5800000000000001</v>
      </c>
      <c r="O44" s="426" t="s">
        <v>5</v>
      </c>
      <c r="P44" s="426"/>
      <c r="Q44" s="426"/>
      <c r="R44" s="9">
        <v>1.40</v>
      </c>
      <c r="S44" s="226">
        <f>S42/100*R44</f>
        <v>4.8696339999999987</v>
      </c>
      <c r="T44" s="8">
        <f>FLOOR(S44,0.01)</f>
        <v>4.8600000000000003</v>
      </c>
    </row>
    <row r="45" spans="1:20" ht="12.75">
      <c r="A45" s="3" t="s">
        <v>6</v>
      </c>
      <c r="B45" s="3"/>
      <c r="C45" s="3"/>
      <c r="D45" s="9">
        <v>1</v>
      </c>
      <c r="E45" s="226">
        <f>E42/100*D45</f>
        <v>3.8916000000000004</v>
      </c>
      <c r="F45" s="8">
        <f>FLOOR(E45,0.01)</f>
        <v>3.8900000000000001</v>
      </c>
      <c r="G45" s="28"/>
      <c r="H45" s="3" t="s">
        <v>6</v>
      </c>
      <c r="I45" s="3"/>
      <c r="J45" s="3"/>
      <c r="K45" s="9">
        <v>1</v>
      </c>
      <c r="L45" s="226">
        <f>L42/100*K45</f>
        <v>3.2719999999999998</v>
      </c>
      <c r="M45" s="8">
        <f>FLOOR(L45,0.01)</f>
        <v>3.27</v>
      </c>
      <c r="O45" s="3" t="s">
        <v>6</v>
      </c>
      <c r="P45" s="3"/>
      <c r="Q45" s="3"/>
      <c r="R45" s="9">
        <v>1</v>
      </c>
      <c r="S45" s="226">
        <f>S42/100*R45</f>
        <v>3.4783099999999996</v>
      </c>
      <c r="T45" s="8">
        <f>FLOOR(S45,0.01)</f>
        <v>3.4700000000000002</v>
      </c>
    </row>
    <row r="46" spans="1:20" ht="12.75">
      <c r="A46" s="426" t="s">
        <v>7</v>
      </c>
      <c r="B46" s="426"/>
      <c r="C46" s="426"/>
      <c r="D46" s="9">
        <v>3</v>
      </c>
      <c r="E46" s="226">
        <f>E42/100*D46</f>
        <v>11.674800000000001</v>
      </c>
      <c r="F46" s="8">
        <f>FLOOR(E46,0.01)</f>
        <v>11.67</v>
      </c>
      <c r="G46" s="28"/>
      <c r="H46" s="426" t="s">
        <v>7</v>
      </c>
      <c r="I46" s="426"/>
      <c r="J46" s="426"/>
      <c r="K46" s="9">
        <v>3</v>
      </c>
      <c r="L46" s="226">
        <f>L42/100*K46</f>
        <v>9.8159999999999989</v>
      </c>
      <c r="M46" s="8">
        <f>FLOOR(L46,0.01)</f>
        <v>9.8100000000000005</v>
      </c>
      <c r="O46" s="426" t="s">
        <v>7</v>
      </c>
      <c r="P46" s="426"/>
      <c r="Q46" s="426"/>
      <c r="R46" s="9">
        <v>3</v>
      </c>
      <c r="S46" s="226">
        <f>S42/100*R46</f>
        <v>10.434929999999998</v>
      </c>
      <c r="T46" s="8">
        <f>FLOOR(S46,0.01)</f>
        <v>10.43</v>
      </c>
    </row>
    <row r="47" spans="1:20" ht="12.75">
      <c r="A47" s="426" t="s">
        <v>8</v>
      </c>
      <c r="B47" s="426"/>
      <c r="C47" s="426"/>
      <c r="D47" s="9">
        <v>0.80</v>
      </c>
      <c r="E47" s="226">
        <f>E42/100*D47</f>
        <v>3.1132800000000005</v>
      </c>
      <c r="F47" s="8">
        <f>FLOOR(E47,0.01)</f>
        <v>3.1099999999999999</v>
      </c>
      <c r="G47" s="28"/>
      <c r="H47" s="426" t="s">
        <v>8</v>
      </c>
      <c r="I47" s="426"/>
      <c r="J47" s="426"/>
      <c r="K47" s="9">
        <v>0.80</v>
      </c>
      <c r="L47" s="226">
        <f>L42/100*K47</f>
        <v>2.6175999999999999</v>
      </c>
      <c r="M47" s="8">
        <f>FLOOR(L47,0.01)</f>
        <v>2.6099999999999999</v>
      </c>
      <c r="O47" s="426" t="s">
        <v>8</v>
      </c>
      <c r="P47" s="426"/>
      <c r="Q47" s="426"/>
      <c r="R47" s="9">
        <v>0.80</v>
      </c>
      <c r="S47" s="226">
        <f>S42/100*R47</f>
        <v>2.782648</v>
      </c>
      <c r="T47" s="8">
        <f>FLOOR(S47,0.01)</f>
        <v>2.7800000000000002</v>
      </c>
    </row>
    <row r="48" spans="1:20" ht="12.75">
      <c r="A48" s="426" t="s">
        <v>9</v>
      </c>
      <c r="B48" s="426"/>
      <c r="C48" s="426"/>
      <c r="D48" s="9">
        <v>0.25</v>
      </c>
      <c r="E48" s="226">
        <f>E42/100*D48</f>
        <v>0.9729000000000001</v>
      </c>
      <c r="F48" s="8">
        <f>FLOOR(E48,0.01)</f>
        <v>0.96999999999999997</v>
      </c>
      <c r="G48" s="28"/>
      <c r="H48" s="426" t="s">
        <v>9</v>
      </c>
      <c r="I48" s="426"/>
      <c r="J48" s="426"/>
      <c r="K48" s="9">
        <v>0.25</v>
      </c>
      <c r="L48" s="226">
        <f>L42/100*K48</f>
        <v>0.81799999999999995</v>
      </c>
      <c r="M48" s="8">
        <f>FLOOR(L48,0.01)</f>
        <v>0.81000000000000005</v>
      </c>
      <c r="O48" s="426" t="s">
        <v>9</v>
      </c>
      <c r="P48" s="426"/>
      <c r="Q48" s="426"/>
      <c r="R48" s="9">
        <v>0.25</v>
      </c>
      <c r="S48" s="226">
        <f>S42/100*R48</f>
        <v>0.86957749999999989</v>
      </c>
      <c r="T48" s="8">
        <f>FLOOR(S48,0.01)</f>
        <v>0.85999999999999999</v>
      </c>
    </row>
    <row r="49" spans="1:20" ht="12.75">
      <c r="A49" s="426" t="s">
        <v>10</v>
      </c>
      <c r="B49" s="426"/>
      <c r="C49" s="426"/>
      <c r="D49" s="9">
        <v>4.75</v>
      </c>
      <c r="E49" s="226">
        <f>E42/100*D49</f>
        <v>18.485100000000003</v>
      </c>
      <c r="F49" s="8">
        <f>FLOOR(E49,0.01)</f>
        <v>18.48</v>
      </c>
      <c r="G49" s="28"/>
      <c r="H49" s="426" t="s">
        <v>10</v>
      </c>
      <c r="I49" s="426"/>
      <c r="J49" s="426"/>
      <c r="K49" s="9">
        <v>4.75</v>
      </c>
      <c r="L49" s="226">
        <f>L42/100*K49</f>
        <v>15.542</v>
      </c>
      <c r="M49" s="8">
        <f>FLOOR(L49,0.01)</f>
        <v>15.540000000000001</v>
      </c>
      <c r="O49" s="426" t="s">
        <v>10</v>
      </c>
      <c r="P49" s="426"/>
      <c r="Q49" s="426"/>
      <c r="R49" s="9">
        <v>4.75</v>
      </c>
      <c r="S49" s="226">
        <f>S42/100*R49</f>
        <v>16.521972499999997</v>
      </c>
      <c r="T49" s="8">
        <f>FLOOR(S49,0.01)</f>
        <v>16.52</v>
      </c>
    </row>
    <row r="50" spans="1:20" ht="12.75">
      <c r="A50" s="426" t="s">
        <v>11</v>
      </c>
      <c r="B50" s="426"/>
      <c r="C50" s="426"/>
      <c r="D50" s="9">
        <v>10</v>
      </c>
      <c r="E50" s="226">
        <f>E42/100*D50</f>
        <v>38.916000000000004</v>
      </c>
      <c r="F50" s="8">
        <f>FLOOR(E50,0.01)</f>
        <v>38.910000000000004</v>
      </c>
      <c r="G50" s="28"/>
      <c r="H50" s="426" t="s">
        <v>11</v>
      </c>
      <c r="I50" s="426"/>
      <c r="J50" s="426"/>
      <c r="K50" s="9">
        <v>10</v>
      </c>
      <c r="L50" s="226">
        <f>L42/100*K50</f>
        <v>32.719999999999999</v>
      </c>
      <c r="M50" s="8">
        <f>FLOOR(L50,0.01)</f>
        <v>32.719999999999999</v>
      </c>
      <c r="O50" s="426" t="s">
        <v>11</v>
      </c>
      <c r="P50" s="426"/>
      <c r="Q50" s="426"/>
      <c r="R50" s="9">
        <v>10</v>
      </c>
      <c r="S50" s="226">
        <f>S42/100*R50</f>
        <v>34.783099999999997</v>
      </c>
      <c r="T50" s="8">
        <f>FLOOR(S50,0.01)</f>
        <v>34.780000000000001</v>
      </c>
    </row>
    <row r="51" spans="1:20" ht="12.75">
      <c r="A51" s="429" t="s">
        <v>12</v>
      </c>
      <c r="B51" s="430"/>
      <c r="C51" s="431"/>
      <c r="D51" s="10">
        <f>SUM(D43:D50)</f>
        <v>35.200000000000003</v>
      </c>
      <c r="E51" s="226">
        <f>SUM(E43:E50)</f>
        <v>136.98432000000003</v>
      </c>
      <c r="F51" s="12">
        <f>SUM(F43:F50)</f>
        <v>136.95000000000002</v>
      </c>
      <c r="G51" s="28"/>
      <c r="H51" s="429" t="s">
        <v>12</v>
      </c>
      <c r="I51" s="430"/>
      <c r="J51" s="431"/>
      <c r="K51" s="10">
        <f>SUM(K43:K50)</f>
        <v>35.200000000000003</v>
      </c>
      <c r="L51" s="226">
        <f>SUM(L43:L50)</f>
        <v>115.17439999999999</v>
      </c>
      <c r="M51" s="12">
        <f>SUM(M43:M50)</f>
        <v>115.14000000000002</v>
      </c>
      <c r="O51" s="429" t="s">
        <v>12</v>
      </c>
      <c r="P51" s="430"/>
      <c r="Q51" s="431"/>
      <c r="R51" s="10">
        <f>SUM(R43:R50)</f>
        <v>35.200000000000003</v>
      </c>
      <c r="S51" s="226">
        <f>SUM(S43:S50)</f>
        <v>122.43651199999997</v>
      </c>
      <c r="T51" s="12">
        <f>SUM(T43:T50)</f>
        <v>122.38999999999999</v>
      </c>
    </row>
    <row r="52" spans="5:20" ht="12.75">
      <c r="E52" s="227"/>
      <c r="F52" s="224"/>
      <c r="G52" s="28"/>
      <c r="L52" s="227"/>
      <c r="M52" s="224"/>
      <c r="S52" s="227"/>
      <c r="T52" s="224"/>
    </row>
    <row r="53" spans="1:20" ht="12.75">
      <c r="A53" s="432" t="s">
        <v>13</v>
      </c>
      <c r="B53" s="432"/>
      <c r="C53" s="432"/>
      <c r="E53" s="226">
        <f>E42+E51</f>
        <v>526.14432000000011</v>
      </c>
      <c r="F53" s="225">
        <f>F42+F51</f>
        <v>526.11000000000001</v>
      </c>
      <c r="G53" s="28"/>
      <c r="H53" s="432" t="s">
        <v>13</v>
      </c>
      <c r="I53" s="432"/>
      <c r="J53" s="432"/>
      <c r="L53" s="226">
        <f>L42+L51</f>
        <v>442.37439999999998</v>
      </c>
      <c r="M53" s="225">
        <f>M42+M51</f>
        <v>442.34000000000003</v>
      </c>
      <c r="O53" s="432" t="s">
        <v>13</v>
      </c>
      <c r="P53" s="432"/>
      <c r="Q53" s="432"/>
      <c r="S53" s="226">
        <f>S42+S51</f>
        <v>470.2675119999999</v>
      </c>
      <c r="T53" s="225">
        <f>T42+T51</f>
        <v>470.22099999999995</v>
      </c>
    </row>
    <row r="54" spans="1:7" ht="12.75">
      <c r="A54" s="28"/>
      <c r="B54" s="28"/>
      <c r="C54" s="28"/>
      <c r="D54" s="28"/>
      <c r="E54" s="28"/>
      <c r="F54" s="28"/>
      <c r="G54" s="28"/>
    </row>
    <row r="55" spans="1:7" ht="12.75">
      <c r="A55" s="28"/>
      <c r="B55" s="28"/>
      <c r="C55" s="28"/>
      <c r="D55" s="28"/>
      <c r="E55" s="28"/>
      <c r="F55" s="28"/>
      <c r="G55" s="28"/>
    </row>
    <row r="56" spans="1:20" ht="12.75">
      <c r="A56" s="434" t="s">
        <v>146</v>
      </c>
      <c r="B56" s="434"/>
      <c r="C56" s="434"/>
      <c r="D56" s="434"/>
      <c r="E56" s="434"/>
      <c r="F56" s="434"/>
      <c r="H56" s="434" t="s">
        <v>29</v>
      </c>
      <c r="I56" s="434"/>
      <c r="J56" s="434"/>
      <c r="K56" s="434"/>
      <c r="L56" s="434"/>
      <c r="M56" s="434"/>
      <c r="O56" s="443" t="s">
        <v>135</v>
      </c>
      <c r="P56" s="443"/>
      <c r="Q56" s="443"/>
      <c r="R56" s="443"/>
      <c r="S56" s="443"/>
      <c r="T56" s="443"/>
    </row>
    <row r="57" spans="1:20" ht="12.75">
      <c r="A57" s="427" t="s">
        <v>166</v>
      </c>
      <c r="B57" s="427"/>
      <c r="C57" s="427"/>
      <c r="D57" s="3" t="s">
        <v>3</v>
      </c>
      <c r="E57" s="8">
        <f>J6</f>
        <v>765</v>
      </c>
      <c r="F57" s="8">
        <f>E57</f>
        <v>765</v>
      </c>
      <c r="H57" s="427" t="s">
        <v>166</v>
      </c>
      <c r="I57" s="427"/>
      <c r="J57" s="427"/>
      <c r="K57" s="3" t="s">
        <v>3</v>
      </c>
      <c r="L57" s="8">
        <f>J7</f>
        <v>782</v>
      </c>
      <c r="M57" s="8">
        <f>L57</f>
        <v>782</v>
      </c>
      <c r="O57" s="427" t="s">
        <v>166</v>
      </c>
      <c r="P57" s="427"/>
      <c r="Q57" s="427"/>
      <c r="R57" s="3" t="s">
        <v>3</v>
      </c>
      <c r="S57" s="8">
        <f>J13*0.8</f>
        <v>270.16000000000003</v>
      </c>
      <c r="T57" s="8">
        <f>S57</f>
        <v>270.16000000000003</v>
      </c>
    </row>
    <row r="58" spans="1:20" ht="12.75">
      <c r="A58" s="428" t="s">
        <v>4</v>
      </c>
      <c r="B58" s="428"/>
      <c r="C58" s="428"/>
      <c r="D58" s="5">
        <v>14</v>
      </c>
      <c r="E58" s="226">
        <f>E57/100*D58</f>
        <v>107.10000000000001</v>
      </c>
      <c r="F58" s="8">
        <f t="shared" si="6" ref="F58:F65">FLOOR(E58,0.01)</f>
        <v>107.10000000000001</v>
      </c>
      <c r="H58" s="428" t="s">
        <v>4</v>
      </c>
      <c r="I58" s="428"/>
      <c r="J58" s="428"/>
      <c r="K58" s="5">
        <v>14</v>
      </c>
      <c r="L58" s="226">
        <f>L57/100*K58</f>
        <v>109.48</v>
      </c>
      <c r="M58" s="8">
        <f t="shared" si="7" ref="M58:M65">FLOOR(L58,0.01)</f>
        <v>109.48</v>
      </c>
      <c r="O58" s="428" t="s">
        <v>4</v>
      </c>
      <c r="P58" s="428"/>
      <c r="Q58" s="428"/>
      <c r="R58" s="5">
        <v>14</v>
      </c>
      <c r="S58" s="226">
        <f>S57/100*R58</f>
        <v>37.822400000000009</v>
      </c>
      <c r="T58" s="8">
        <f t="shared" si="8" ref="T58:T65">FLOOR(S58,0.01)</f>
        <v>37.82</v>
      </c>
    </row>
    <row r="59" spans="1:20" ht="12.75">
      <c r="A59" s="426" t="s">
        <v>5</v>
      </c>
      <c r="B59" s="426"/>
      <c r="C59" s="426"/>
      <c r="D59" s="9">
        <v>1.40</v>
      </c>
      <c r="E59" s="226">
        <f>E57/100*D59</f>
        <v>10.709999999999999</v>
      </c>
      <c r="F59" s="8">
        <f>FLOOR(E59,0.01)</f>
        <v>10.710000000000001</v>
      </c>
      <c r="H59" s="426" t="s">
        <v>5</v>
      </c>
      <c r="I59" s="426"/>
      <c r="J59" s="426"/>
      <c r="K59" s="9">
        <v>1.40</v>
      </c>
      <c r="L59" s="226">
        <f>L57/100*K59</f>
        <v>10.948</v>
      </c>
      <c r="M59" s="8">
        <f>FLOOR(L59,0.01)</f>
        <v>10.94</v>
      </c>
      <c r="O59" s="426" t="s">
        <v>5</v>
      </c>
      <c r="P59" s="426"/>
      <c r="Q59" s="426"/>
      <c r="R59" s="9">
        <v>1.40</v>
      </c>
      <c r="S59" s="226">
        <f>S57/100*R59</f>
        <v>3.7822400000000003</v>
      </c>
      <c r="T59" s="8">
        <f>FLOOR(S59,0.01)</f>
        <v>3.7800000000000002</v>
      </c>
    </row>
    <row r="60" spans="1:20" ht="12.75">
      <c r="A60" s="3" t="s">
        <v>6</v>
      </c>
      <c r="B60" s="3"/>
      <c r="C60" s="3"/>
      <c r="D60" s="9">
        <v>1</v>
      </c>
      <c r="E60" s="226">
        <f>E57/100*D60</f>
        <v>7.6500000000000004</v>
      </c>
      <c r="F60" s="8">
        <f>FLOOR(E60,0.01)</f>
        <v>7.6500000000000004</v>
      </c>
      <c r="H60" s="3" t="s">
        <v>6</v>
      </c>
      <c r="I60" s="3"/>
      <c r="J60" s="3"/>
      <c r="K60" s="9">
        <v>1</v>
      </c>
      <c r="L60" s="226">
        <f>L57/100*K60</f>
        <v>7.8200000000000003</v>
      </c>
      <c r="M60" s="8">
        <f>FLOOR(L60,0.01)</f>
        <v>7.8200000000000003</v>
      </c>
      <c r="O60" s="3" t="s">
        <v>6</v>
      </c>
      <c r="P60" s="3"/>
      <c r="Q60" s="3"/>
      <c r="R60" s="9">
        <v>1</v>
      </c>
      <c r="S60" s="226">
        <f>S57/100*R60</f>
        <v>2.7016000000000004</v>
      </c>
      <c r="T60" s="8">
        <f>FLOOR(S60,0.01)</f>
        <v>2.7000000000000002</v>
      </c>
    </row>
    <row r="61" spans="1:20" ht="12.75">
      <c r="A61" s="426" t="s">
        <v>7</v>
      </c>
      <c r="B61" s="426"/>
      <c r="C61" s="426"/>
      <c r="D61" s="9">
        <v>3</v>
      </c>
      <c r="E61" s="226">
        <f>E57/100*D61</f>
        <v>22.950000000000003</v>
      </c>
      <c r="F61" s="8">
        <f>FLOOR(E61,0.01)</f>
        <v>22.949999999999999</v>
      </c>
      <c r="H61" s="426" t="s">
        <v>7</v>
      </c>
      <c r="I61" s="426"/>
      <c r="J61" s="426"/>
      <c r="K61" s="9">
        <v>3</v>
      </c>
      <c r="L61" s="226">
        <f>L57/100*K61</f>
        <v>23.460000000000001</v>
      </c>
      <c r="M61" s="8">
        <f>FLOOR(L61,0.01)</f>
        <v>23.460000000000001</v>
      </c>
      <c r="O61" s="426" t="s">
        <v>7</v>
      </c>
      <c r="P61" s="426"/>
      <c r="Q61" s="426"/>
      <c r="R61" s="9">
        <v>3</v>
      </c>
      <c r="S61" s="226">
        <f>S57/100*R61</f>
        <v>8.1048000000000009</v>
      </c>
      <c r="T61" s="8">
        <f>FLOOR(S61,0.01)</f>
        <v>8.0999999999999996</v>
      </c>
    </row>
    <row r="62" spans="1:20" ht="12.75">
      <c r="A62" s="426" t="s">
        <v>8</v>
      </c>
      <c r="B62" s="426"/>
      <c r="C62" s="426"/>
      <c r="D62" s="9">
        <v>0.80</v>
      </c>
      <c r="E62" s="226">
        <f>E57/100*D62</f>
        <v>6.120000000000001</v>
      </c>
      <c r="F62" s="8">
        <f>FLOOR(E62,0.01)</f>
        <v>6.1200000000000001</v>
      </c>
      <c r="H62" s="426" t="s">
        <v>8</v>
      </c>
      <c r="I62" s="426"/>
      <c r="J62" s="426"/>
      <c r="K62" s="9">
        <v>0.80</v>
      </c>
      <c r="L62" s="226">
        <f>L57/100*K62</f>
        <v>6.2560000000000002</v>
      </c>
      <c r="M62" s="8">
        <f>FLOOR(L62,0.01)</f>
        <v>6.25</v>
      </c>
      <c r="O62" s="426" t="s">
        <v>8</v>
      </c>
      <c r="P62" s="426"/>
      <c r="Q62" s="426"/>
      <c r="R62" s="9">
        <v>0.80</v>
      </c>
      <c r="S62" s="226">
        <f>S57/100*R62</f>
        <v>2.1612800000000005</v>
      </c>
      <c r="T62" s="8">
        <f>FLOOR(S62,0.01)</f>
        <v>2.1600000000000001</v>
      </c>
    </row>
    <row r="63" spans="1:20" ht="12.75">
      <c r="A63" s="426" t="s">
        <v>9</v>
      </c>
      <c r="B63" s="426"/>
      <c r="C63" s="426"/>
      <c r="D63" s="9">
        <v>0.25</v>
      </c>
      <c r="E63" s="226">
        <f>E57/100*D63</f>
        <v>1.9125000000000001</v>
      </c>
      <c r="F63" s="8">
        <f>FLOOR(E63,0.01)</f>
        <v>1.9100000000000001</v>
      </c>
      <c r="H63" s="426" t="s">
        <v>9</v>
      </c>
      <c r="I63" s="426"/>
      <c r="J63" s="426"/>
      <c r="K63" s="9">
        <v>0.25</v>
      </c>
      <c r="L63" s="226">
        <f>L57/100*K63</f>
        <v>1.9550000000000001</v>
      </c>
      <c r="M63" s="8">
        <f>FLOOR(L63,0.01)</f>
        <v>1.95</v>
      </c>
      <c r="O63" s="426" t="s">
        <v>9</v>
      </c>
      <c r="P63" s="426"/>
      <c r="Q63" s="426"/>
      <c r="R63" s="9">
        <v>0.25</v>
      </c>
      <c r="S63" s="226">
        <f>S57/100*R63</f>
        <v>0.67540000000000011</v>
      </c>
      <c r="T63" s="8">
        <f>FLOOR(S63,0.01)</f>
        <v>0.67000000000000004</v>
      </c>
    </row>
    <row r="64" spans="1:20" ht="12.75">
      <c r="A64" s="426" t="s">
        <v>10</v>
      </c>
      <c r="B64" s="426"/>
      <c r="C64" s="426"/>
      <c r="D64" s="9">
        <v>4.75</v>
      </c>
      <c r="E64" s="226">
        <f>E57/100*D64</f>
        <v>36.337499999999999</v>
      </c>
      <c r="F64" s="8">
        <f>FLOOR(E64,0.01)</f>
        <v>36.329999999999998</v>
      </c>
      <c r="H64" s="426" t="s">
        <v>10</v>
      </c>
      <c r="I64" s="426"/>
      <c r="J64" s="426"/>
      <c r="K64" s="9">
        <v>4.75</v>
      </c>
      <c r="L64" s="226">
        <f>L57/100*K64</f>
        <v>37.145000000000003</v>
      </c>
      <c r="M64" s="8">
        <f>FLOOR(L64,0.01)</f>
        <v>37.140000000000001</v>
      </c>
      <c r="O64" s="426" t="s">
        <v>10</v>
      </c>
      <c r="P64" s="426"/>
      <c r="Q64" s="426"/>
      <c r="R64" s="9">
        <v>4.75</v>
      </c>
      <c r="S64" s="226">
        <f>S57/100*R64</f>
        <v>12.832600000000003</v>
      </c>
      <c r="T64" s="8">
        <f>FLOOR(S64,0.01)</f>
        <v>12.83</v>
      </c>
    </row>
    <row r="65" spans="1:20" ht="12.75">
      <c r="A65" s="426" t="s">
        <v>11</v>
      </c>
      <c r="B65" s="426"/>
      <c r="C65" s="426"/>
      <c r="D65" s="9">
        <v>10</v>
      </c>
      <c r="E65" s="226">
        <f>E57/100*D65</f>
        <v>76.5</v>
      </c>
      <c r="F65" s="8">
        <f>FLOOR(E65,0.01)</f>
        <v>76.5</v>
      </c>
      <c r="H65" s="426" t="s">
        <v>11</v>
      </c>
      <c r="I65" s="426"/>
      <c r="J65" s="426"/>
      <c r="K65" s="9">
        <v>10</v>
      </c>
      <c r="L65" s="226">
        <f>L57/100*K65</f>
        <v>78.200000000000003</v>
      </c>
      <c r="M65" s="8">
        <f>FLOOR(L65,0.01)</f>
        <v>78.200000000000003</v>
      </c>
      <c r="O65" s="426" t="s">
        <v>11</v>
      </c>
      <c r="P65" s="426"/>
      <c r="Q65" s="426"/>
      <c r="R65" s="9">
        <v>10</v>
      </c>
      <c r="S65" s="226">
        <f>S57/100*R65</f>
        <v>27.016000000000005</v>
      </c>
      <c r="T65" s="8">
        <f>FLOOR(S65,0.01)</f>
        <v>27.010000000000002</v>
      </c>
    </row>
    <row r="66" spans="1:20" ht="12.75">
      <c r="A66" s="429" t="s">
        <v>12</v>
      </c>
      <c r="B66" s="430"/>
      <c r="C66" s="431"/>
      <c r="D66" s="10">
        <f>SUM(D58:D65)</f>
        <v>35.200000000000003</v>
      </c>
      <c r="E66" s="226">
        <f>SUM(E58:E65)</f>
        <v>269.28000000000003</v>
      </c>
      <c r="F66" s="12">
        <f>SUM(F58:F65)</f>
        <v>269.26999999999998</v>
      </c>
      <c r="H66" s="429" t="s">
        <v>12</v>
      </c>
      <c r="I66" s="430"/>
      <c r="J66" s="431"/>
      <c r="K66" s="10">
        <f>SUM(K58:K65)</f>
        <v>35.200000000000003</v>
      </c>
      <c r="L66" s="226">
        <f>SUM(L58:L65)</f>
        <v>275.26400000000001</v>
      </c>
      <c r="M66" s="12">
        <f>SUM(M58:M65)</f>
        <v>275.24000000000001</v>
      </c>
      <c r="O66" s="429" t="s">
        <v>12</v>
      </c>
      <c r="P66" s="430"/>
      <c r="Q66" s="431"/>
      <c r="R66" s="10">
        <f>SUM(R58:R65)</f>
        <v>35.200000000000003</v>
      </c>
      <c r="S66" s="226">
        <f>SUM(S58:S65)</f>
        <v>95.09632000000002</v>
      </c>
      <c r="T66" s="12">
        <f>SUM(T58:T65)</f>
        <v>95.070000000000007</v>
      </c>
    </row>
    <row r="67" spans="5:20" ht="12.75">
      <c r="E67" s="227"/>
      <c r="F67" s="224"/>
      <c r="L67" s="227"/>
      <c r="M67" s="224"/>
      <c r="S67" s="227"/>
      <c r="T67" s="224"/>
    </row>
    <row r="68" spans="1:20" ht="12.75">
      <c r="A68" s="432" t="s">
        <v>13</v>
      </c>
      <c r="B68" s="432"/>
      <c r="C68" s="432"/>
      <c r="E68" s="226">
        <f>E57+E66</f>
        <v>1034.28</v>
      </c>
      <c r="F68" s="225">
        <f>F57+F66</f>
        <v>1034.27</v>
      </c>
      <c r="H68" s="432" t="s">
        <v>13</v>
      </c>
      <c r="I68" s="432"/>
      <c r="J68" s="432"/>
      <c r="L68" s="226">
        <f>L57+L66</f>
        <v>1057.2640000000001</v>
      </c>
      <c r="M68" s="225">
        <f>M57+M66</f>
        <v>1057.24</v>
      </c>
      <c r="O68" s="432" t="s">
        <v>13</v>
      </c>
      <c r="P68" s="432"/>
      <c r="Q68" s="432"/>
      <c r="S68" s="226">
        <f>S57+S66</f>
        <v>365.25632000000007</v>
      </c>
      <c r="T68" s="225">
        <f>T57+T66</f>
        <v>365.23000000000002</v>
      </c>
    </row>
    <row r="70" spans="1:6" ht="12.75">
      <c r="A70" s="29"/>
      <c r="B70" s="28"/>
      <c r="C70" s="28"/>
      <c r="D70" s="28"/>
      <c r="E70" s="28"/>
      <c r="F70" s="28"/>
    </row>
    <row r="71" spans="1:20" ht="12.75">
      <c r="A71" s="434" t="s">
        <v>30</v>
      </c>
      <c r="B71" s="434"/>
      <c r="C71" s="434"/>
      <c r="D71" s="434"/>
      <c r="E71" s="434"/>
      <c r="F71" s="434"/>
      <c r="H71" s="443" t="s">
        <v>133</v>
      </c>
      <c r="I71" s="443"/>
      <c r="J71" s="443"/>
      <c r="K71" s="443"/>
      <c r="L71" s="443"/>
      <c r="M71" s="443"/>
      <c r="O71" s="443" t="s">
        <v>134</v>
      </c>
      <c r="P71" s="443"/>
      <c r="Q71" s="443"/>
      <c r="R71" s="443"/>
      <c r="S71" s="443"/>
      <c r="T71" s="443"/>
    </row>
    <row r="72" spans="1:20" ht="12.75">
      <c r="A72" s="427" t="s">
        <v>166</v>
      </c>
      <c r="B72" s="427"/>
      <c r="C72" s="427"/>
      <c r="D72" s="3" t="s">
        <v>3</v>
      </c>
      <c r="E72" s="8">
        <f>J8</f>
        <v>813.27999999999997</v>
      </c>
      <c r="F72" s="8">
        <f>E72</f>
        <v>813.27999999999997</v>
      </c>
      <c r="H72" s="427" t="s">
        <v>166</v>
      </c>
      <c r="I72" s="427"/>
      <c r="J72" s="427"/>
      <c r="K72" s="3" t="s">
        <v>3</v>
      </c>
      <c r="L72" s="8">
        <f>J12*0.8</f>
        <v>261.75999999999999</v>
      </c>
      <c r="M72" s="8">
        <f>L72</f>
        <v>261.75999999999999</v>
      </c>
      <c r="O72" s="427" t="s">
        <v>166</v>
      </c>
      <c r="P72" s="427"/>
      <c r="Q72" s="427"/>
      <c r="R72" s="3" t="s">
        <v>3</v>
      </c>
      <c r="S72" s="8">
        <f>J14*0.8</f>
        <v>278.26479999999998</v>
      </c>
      <c r="T72" s="8">
        <f>S72</f>
        <v>278.26479999999998</v>
      </c>
    </row>
    <row r="73" spans="1:20" ht="12.75">
      <c r="A73" s="428" t="s">
        <v>4</v>
      </c>
      <c r="B73" s="428"/>
      <c r="C73" s="428"/>
      <c r="D73" s="5">
        <v>14</v>
      </c>
      <c r="E73" s="226">
        <f>E72/100*D73</f>
        <v>113.85919999999999</v>
      </c>
      <c r="F73" s="8">
        <f t="shared" si="9" ref="F73:F80">FLOOR(E73,0.01)</f>
        <v>113.85000000000001</v>
      </c>
      <c r="H73" s="428" t="s">
        <v>4</v>
      </c>
      <c r="I73" s="428"/>
      <c r="J73" s="428"/>
      <c r="K73" s="5">
        <v>14</v>
      </c>
      <c r="L73" s="226">
        <f>L72/100*K73</f>
        <v>36.6464</v>
      </c>
      <c r="M73" s="8">
        <f t="shared" si="10" ref="M73:M80">FLOOR(L73,0.01)</f>
        <v>36.640000000000001</v>
      </c>
      <c r="O73" s="428" t="s">
        <v>4</v>
      </c>
      <c r="P73" s="428"/>
      <c r="Q73" s="428"/>
      <c r="R73" s="5">
        <v>14</v>
      </c>
      <c r="S73" s="226">
        <f>S72/100*R73</f>
        <v>38.957071999999997</v>
      </c>
      <c r="T73" s="8">
        <f t="shared" si="11" ref="T73:T80">FLOOR(S73,0.01)</f>
        <v>38.950000000000003</v>
      </c>
    </row>
    <row r="74" spans="1:20" ht="12.75">
      <c r="A74" s="426" t="s">
        <v>5</v>
      </c>
      <c r="B74" s="426"/>
      <c r="C74" s="426"/>
      <c r="D74" s="9">
        <v>1.40</v>
      </c>
      <c r="E74" s="226">
        <f>E72/100*D74</f>
        <v>11.385919999999999</v>
      </c>
      <c r="F74" s="8">
        <f>FLOOR(E74,0.01)</f>
        <v>11.380000000000001</v>
      </c>
      <c r="H74" s="426" t="s">
        <v>5</v>
      </c>
      <c r="I74" s="426"/>
      <c r="J74" s="426"/>
      <c r="K74" s="9">
        <v>1.40</v>
      </c>
      <c r="L74" s="226">
        <f>L72/100*K74</f>
        <v>3.6646399999999995</v>
      </c>
      <c r="M74" s="8">
        <f>FLOOR(L74,0.01)</f>
        <v>3.6600000000000001</v>
      </c>
      <c r="O74" s="426" t="s">
        <v>5</v>
      </c>
      <c r="P74" s="426"/>
      <c r="Q74" s="426"/>
      <c r="R74" s="9">
        <v>1.40</v>
      </c>
      <c r="S74" s="226">
        <f>S72/100*R74</f>
        <v>3.8957071999999999</v>
      </c>
      <c r="T74" s="8">
        <f>FLOOR(S74,0.01)</f>
        <v>3.8900000000000001</v>
      </c>
    </row>
    <row r="75" spans="1:20" ht="12.75">
      <c r="A75" s="3" t="s">
        <v>6</v>
      </c>
      <c r="B75" s="3"/>
      <c r="C75" s="3"/>
      <c r="D75" s="9">
        <v>1</v>
      </c>
      <c r="E75" s="226">
        <f>E72/100*D75</f>
        <v>8.1327999999999996</v>
      </c>
      <c r="F75" s="8">
        <f>FLOOR(E75,0.01)</f>
        <v>8.1300000000000008</v>
      </c>
      <c r="H75" s="3" t="s">
        <v>6</v>
      </c>
      <c r="I75" s="3"/>
      <c r="J75" s="3"/>
      <c r="K75" s="9">
        <v>1</v>
      </c>
      <c r="L75" s="226">
        <f>L72/100*K75</f>
        <v>2.6175999999999999</v>
      </c>
      <c r="M75" s="8">
        <f>FLOOR(L75,0.01)</f>
        <v>2.6099999999999999</v>
      </c>
      <c r="O75" s="3" t="s">
        <v>6</v>
      </c>
      <c r="P75" s="3"/>
      <c r="Q75" s="3"/>
      <c r="R75" s="9">
        <v>1</v>
      </c>
      <c r="S75" s="226">
        <f>S72/100*R75</f>
        <v>2.782648</v>
      </c>
      <c r="T75" s="8">
        <f>FLOOR(S75,0.01)</f>
        <v>2.7800000000000002</v>
      </c>
    </row>
    <row r="76" spans="1:20" ht="12.75">
      <c r="A76" s="426" t="s">
        <v>7</v>
      </c>
      <c r="B76" s="426"/>
      <c r="C76" s="426"/>
      <c r="D76" s="9">
        <v>3</v>
      </c>
      <c r="E76" s="226">
        <f>E72/100*D76</f>
        <v>24.398399999999999</v>
      </c>
      <c r="F76" s="8">
        <f>FLOOR(E76,0.01)</f>
        <v>24.390000000000001</v>
      </c>
      <c r="H76" s="426" t="s">
        <v>7</v>
      </c>
      <c r="I76" s="426"/>
      <c r="J76" s="426"/>
      <c r="K76" s="9">
        <v>3</v>
      </c>
      <c r="L76" s="226">
        <f>L72/100*K76</f>
        <v>7.8528000000000002</v>
      </c>
      <c r="M76" s="8">
        <f>FLOOR(L76,0.01)</f>
        <v>7.8500000000000005</v>
      </c>
      <c r="O76" s="426" t="s">
        <v>7</v>
      </c>
      <c r="P76" s="426"/>
      <c r="Q76" s="426"/>
      <c r="R76" s="9">
        <v>3</v>
      </c>
      <c r="S76" s="226">
        <f>S72/100*R76</f>
        <v>8.347944</v>
      </c>
      <c r="T76" s="8">
        <f>FLOOR(S76,0.01)</f>
        <v>8.3399999999999999</v>
      </c>
    </row>
    <row r="77" spans="1:20" ht="12.75">
      <c r="A77" s="426" t="s">
        <v>8</v>
      </c>
      <c r="B77" s="426"/>
      <c r="C77" s="426"/>
      <c r="D77" s="9">
        <v>0.80</v>
      </c>
      <c r="E77" s="226">
        <f>E72/100*D77</f>
        <v>6.50624</v>
      </c>
      <c r="F77" s="8">
        <f>FLOOR(E77,0.01)</f>
        <v>6.5</v>
      </c>
      <c r="H77" s="426" t="s">
        <v>8</v>
      </c>
      <c r="I77" s="426"/>
      <c r="J77" s="426"/>
      <c r="K77" s="9">
        <v>0.80</v>
      </c>
      <c r="L77" s="226">
        <f>L72/100*K77</f>
        <v>2.0940799999999999</v>
      </c>
      <c r="M77" s="8">
        <f>FLOOR(L77,0.01)</f>
        <v>2.0899999999999999</v>
      </c>
      <c r="O77" s="426" t="s">
        <v>8</v>
      </c>
      <c r="P77" s="426"/>
      <c r="Q77" s="426"/>
      <c r="R77" s="9">
        <v>0.80</v>
      </c>
      <c r="S77" s="226">
        <f>S72/100*R77</f>
        <v>2.2261184000000003</v>
      </c>
      <c r="T77" s="8">
        <f>FLOOR(S77,0.01)</f>
        <v>2.2200000000000002</v>
      </c>
    </row>
    <row r="78" spans="1:20" ht="12.75">
      <c r="A78" s="426" t="s">
        <v>9</v>
      </c>
      <c r="B78" s="426"/>
      <c r="C78" s="426"/>
      <c r="D78" s="9">
        <v>0.25</v>
      </c>
      <c r="E78" s="226">
        <f>E72/100*D78</f>
        <v>2.0331999999999999</v>
      </c>
      <c r="F78" s="8">
        <f>FLOOR(E78,0.01)</f>
        <v>2.0300000000000002</v>
      </c>
      <c r="H78" s="426" t="s">
        <v>9</v>
      </c>
      <c r="I78" s="426"/>
      <c r="J78" s="426"/>
      <c r="K78" s="9">
        <v>0.25</v>
      </c>
      <c r="L78" s="226">
        <f>L72/100*K78</f>
        <v>0.65439999999999998</v>
      </c>
      <c r="M78" s="8">
        <f>FLOOR(L78,0.01)</f>
        <v>0.65000000000000002</v>
      </c>
      <c r="O78" s="426" t="s">
        <v>9</v>
      </c>
      <c r="P78" s="426"/>
      <c r="Q78" s="426"/>
      <c r="R78" s="9">
        <v>0.25</v>
      </c>
      <c r="S78" s="226">
        <f>S72/100*R78</f>
        <v>0.695662</v>
      </c>
      <c r="T78" s="8">
        <f>FLOOR(S78,0.01)</f>
        <v>0.69000000000000006</v>
      </c>
    </row>
    <row r="79" spans="1:20" ht="12.75">
      <c r="A79" s="426" t="s">
        <v>10</v>
      </c>
      <c r="B79" s="426"/>
      <c r="C79" s="426"/>
      <c r="D79" s="9">
        <v>4.75</v>
      </c>
      <c r="E79" s="226">
        <f>E72/100*D79</f>
        <v>38.630800000000001</v>
      </c>
      <c r="F79" s="8">
        <f>FLOOR(E79,0.01)</f>
        <v>38.630000000000003</v>
      </c>
      <c r="H79" s="426" t="s">
        <v>10</v>
      </c>
      <c r="I79" s="426"/>
      <c r="J79" s="426"/>
      <c r="K79" s="9">
        <v>4.75</v>
      </c>
      <c r="L79" s="226">
        <f>L72/100*K79</f>
        <v>12.4336</v>
      </c>
      <c r="M79" s="8">
        <f>FLOOR(L79,0.01)</f>
        <v>12.43</v>
      </c>
      <c r="O79" s="426" t="s">
        <v>10</v>
      </c>
      <c r="P79" s="426"/>
      <c r="Q79" s="426"/>
      <c r="R79" s="9">
        <v>4.75</v>
      </c>
      <c r="S79" s="226">
        <f>S72/100*R79</f>
        <v>13.217578</v>
      </c>
      <c r="T79" s="8">
        <f>FLOOR(S79,0.01)</f>
        <v>13.210000000000001</v>
      </c>
    </row>
    <row r="80" spans="1:20" ht="12.75">
      <c r="A80" s="426" t="s">
        <v>11</v>
      </c>
      <c r="B80" s="426"/>
      <c r="C80" s="426"/>
      <c r="D80" s="9">
        <v>10</v>
      </c>
      <c r="E80" s="226">
        <f>E72/100*D80</f>
        <v>81.328000000000003</v>
      </c>
      <c r="F80" s="8">
        <f>FLOOR(E80,0.01)</f>
        <v>81.320000000000007</v>
      </c>
      <c r="H80" s="426" t="s">
        <v>11</v>
      </c>
      <c r="I80" s="426"/>
      <c r="J80" s="426"/>
      <c r="K80" s="9">
        <v>10</v>
      </c>
      <c r="L80" s="226">
        <f>L72/100*K80</f>
        <v>26.175999999999998</v>
      </c>
      <c r="M80" s="8">
        <f>FLOOR(L80,0.01)</f>
        <v>26.170000000000002</v>
      </c>
      <c r="O80" s="426" t="s">
        <v>11</v>
      </c>
      <c r="P80" s="426"/>
      <c r="Q80" s="426"/>
      <c r="R80" s="9">
        <v>10</v>
      </c>
      <c r="S80" s="226">
        <f>S72/100*R80</f>
        <v>27.82648</v>
      </c>
      <c r="T80" s="8">
        <f>FLOOR(S80,0.01)</f>
        <v>27.82</v>
      </c>
    </row>
    <row r="81" spans="1:20" ht="12.75">
      <c r="A81" s="429" t="s">
        <v>12</v>
      </c>
      <c r="B81" s="430"/>
      <c r="C81" s="431"/>
      <c r="D81" s="10">
        <f>SUM(D73:D80)</f>
        <v>35.200000000000003</v>
      </c>
      <c r="E81" s="226">
        <f>SUM(E73:E80)</f>
        <v>286.27455999999995</v>
      </c>
      <c r="F81" s="12">
        <f>SUM(F73:F80)</f>
        <v>286.23000000000002</v>
      </c>
      <c r="H81" s="429" t="s">
        <v>12</v>
      </c>
      <c r="I81" s="430"/>
      <c r="J81" s="431"/>
      <c r="K81" s="10">
        <f>SUM(K73:K80)</f>
        <v>35.200000000000003</v>
      </c>
      <c r="L81" s="226">
        <f>SUM(L73:L80)</f>
        <v>92.139520000000005</v>
      </c>
      <c r="M81" s="12">
        <f>SUM(M73:M80)</f>
        <v>92.099999999999994</v>
      </c>
      <c r="O81" s="429" t="s">
        <v>12</v>
      </c>
      <c r="P81" s="430"/>
      <c r="Q81" s="431"/>
      <c r="R81" s="10">
        <f>SUM(R73:R80)</f>
        <v>35.200000000000003</v>
      </c>
      <c r="S81" s="226">
        <f>SUM(S73:S80)</f>
        <v>97.949209599999989</v>
      </c>
      <c r="T81" s="12">
        <f>SUM(T73:T80)</f>
        <v>97.900000000000006</v>
      </c>
    </row>
    <row r="82" spans="5:20" ht="12.75">
      <c r="E82" s="227"/>
      <c r="F82" s="224"/>
      <c r="L82" s="227"/>
      <c r="M82" s="224"/>
      <c r="S82" s="227"/>
      <c r="T82" s="224"/>
    </row>
    <row r="83" spans="1:20" ht="12.75">
      <c r="A83" s="432" t="s">
        <v>13</v>
      </c>
      <c r="B83" s="432"/>
      <c r="C83" s="432"/>
      <c r="E83" s="226">
        <f>E72+E81</f>
        <v>1099.55456</v>
      </c>
      <c r="F83" s="225">
        <f>F72+F81</f>
        <v>1099.51</v>
      </c>
      <c r="H83" s="432" t="s">
        <v>13</v>
      </c>
      <c r="I83" s="432"/>
      <c r="J83" s="432"/>
      <c r="L83" s="226">
        <f>L72+L81</f>
        <v>353.89952</v>
      </c>
      <c r="M83" s="225">
        <f>M72+M81</f>
        <v>353.86000000000001</v>
      </c>
      <c r="O83" s="432" t="s">
        <v>13</v>
      </c>
      <c r="P83" s="432"/>
      <c r="Q83" s="432"/>
      <c r="S83" s="226">
        <f>S72+S81</f>
        <v>376.21400959999994</v>
      </c>
      <c r="T83" s="225">
        <f>T72+T81</f>
        <v>376.16480000000001</v>
      </c>
    </row>
    <row r="85" spans="1:20" ht="12.75">
      <c r="A85" s="436" t="s">
        <v>140</v>
      </c>
      <c r="B85" s="436"/>
      <c r="C85" s="436"/>
      <c r="D85" s="436"/>
      <c r="E85" s="436"/>
      <c r="F85" s="436"/>
      <c r="H85" s="434" t="s">
        <v>156</v>
      </c>
      <c r="I85" s="434"/>
      <c r="J85" s="434"/>
      <c r="K85" s="434"/>
      <c r="L85" s="434"/>
      <c r="M85" s="434"/>
      <c r="O85" s="435" t="s">
        <v>160</v>
      </c>
      <c r="P85" s="435"/>
      <c r="Q85" s="435"/>
      <c r="R85" s="435"/>
      <c r="S85" s="435"/>
      <c r="T85" s="435"/>
    </row>
    <row r="86" spans="1:20" ht="12.75">
      <c r="A86" s="427" t="s">
        <v>166</v>
      </c>
      <c r="B86" s="427"/>
      <c r="C86" s="427"/>
      <c r="D86" s="3" t="s">
        <v>3</v>
      </c>
      <c r="E86" s="8">
        <f>J19*2</f>
        <v>398.88900000000001</v>
      </c>
      <c r="F86" s="8">
        <f>E86</f>
        <v>398.88900000000001</v>
      </c>
      <c r="H86" s="427" t="s">
        <v>166</v>
      </c>
      <c r="I86" s="427"/>
      <c r="J86" s="427"/>
      <c r="K86" s="3" t="s">
        <v>3</v>
      </c>
      <c r="L86" s="8">
        <f>J9</f>
        <v>849.87760000000003</v>
      </c>
      <c r="M86" s="8">
        <f>L86</f>
        <v>849.87760000000003</v>
      </c>
      <c r="O86" s="427" t="s">
        <v>166</v>
      </c>
      <c r="P86" s="427"/>
      <c r="Q86" s="427"/>
      <c r="R86" s="3" t="s">
        <v>3</v>
      </c>
      <c r="S86" s="8">
        <f>J15</f>
        <v>358.26592999999997</v>
      </c>
      <c r="T86" s="8">
        <f>S86</f>
        <v>358.26592999999997</v>
      </c>
    </row>
    <row r="87" spans="1:20" ht="12.75">
      <c r="A87" s="428" t="s">
        <v>4</v>
      </c>
      <c r="B87" s="428"/>
      <c r="C87" s="428"/>
      <c r="D87" s="5">
        <v>14</v>
      </c>
      <c r="E87" s="226">
        <f>E86/100*D87</f>
        <v>55.844459999999998</v>
      </c>
      <c r="F87" s="8">
        <f t="shared" si="12" ref="F87:F94">FLOOR(E87,0.01)</f>
        <v>55.840000000000003</v>
      </c>
      <c r="H87" s="428" t="s">
        <v>4</v>
      </c>
      <c r="I87" s="428"/>
      <c r="J87" s="428"/>
      <c r="K87" s="5">
        <v>14</v>
      </c>
      <c r="L87" s="226">
        <f>L86/100*K87</f>
        <v>118.98286399999999</v>
      </c>
      <c r="M87" s="8">
        <f t="shared" si="13" ref="M87:M94">FLOOR(L87,0.01)</f>
        <v>118.98</v>
      </c>
      <c r="O87" s="428" t="s">
        <v>4</v>
      </c>
      <c r="P87" s="428"/>
      <c r="Q87" s="428"/>
      <c r="R87" s="5">
        <v>14</v>
      </c>
      <c r="S87" s="226">
        <f>S86/100*R87</f>
        <v>50.157230199999994</v>
      </c>
      <c r="T87" s="8">
        <f t="shared" si="14" ref="T87:T94">FLOOR(S87,0.01)</f>
        <v>50.149999999999999</v>
      </c>
    </row>
    <row r="88" spans="1:20" ht="12.75">
      <c r="A88" s="426" t="s">
        <v>5</v>
      </c>
      <c r="B88" s="426"/>
      <c r="C88" s="426"/>
      <c r="D88" s="9">
        <v>1.40</v>
      </c>
      <c r="E88" s="226">
        <f>E86/100*D88</f>
        <v>5.5844459999999998</v>
      </c>
      <c r="F88" s="8">
        <f>FLOOR(E88,0.01)</f>
        <v>5.5800000000000001</v>
      </c>
      <c r="H88" s="426" t="s">
        <v>5</v>
      </c>
      <c r="I88" s="426"/>
      <c r="J88" s="426"/>
      <c r="K88" s="9">
        <v>1.40</v>
      </c>
      <c r="L88" s="226">
        <f>L86/100*K88</f>
        <v>11.898286399999998</v>
      </c>
      <c r="M88" s="8">
        <f>FLOOR(L88,0.01)</f>
        <v>11.890000000000001</v>
      </c>
      <c r="O88" s="426" t="s">
        <v>5</v>
      </c>
      <c r="P88" s="426"/>
      <c r="Q88" s="426"/>
      <c r="R88" s="9">
        <v>1.40</v>
      </c>
      <c r="S88" s="226">
        <f>S86/100*R88</f>
        <v>5.0157230199999994</v>
      </c>
      <c r="T88" s="8">
        <f>FLOOR(S88,0.01)</f>
        <v>5.0099999999999998</v>
      </c>
    </row>
    <row r="89" spans="1:20" ht="12.75">
      <c r="A89" s="3" t="s">
        <v>6</v>
      </c>
      <c r="B89" s="3"/>
      <c r="C89" s="3"/>
      <c r="D89" s="9">
        <v>1</v>
      </c>
      <c r="E89" s="226">
        <f>E86/100*D89</f>
        <v>3.98889</v>
      </c>
      <c r="F89" s="8">
        <f>FLOOR(E89,0.01)</f>
        <v>3.98</v>
      </c>
      <c r="H89" s="3" t="s">
        <v>6</v>
      </c>
      <c r="I89" s="3"/>
      <c r="J89" s="3"/>
      <c r="K89" s="9">
        <v>1</v>
      </c>
      <c r="L89" s="226">
        <f>L86/100*K89</f>
        <v>8.4987759999999994</v>
      </c>
      <c r="M89" s="8">
        <f>FLOOR(L89,0.01)</f>
        <v>8.4900000000000002</v>
      </c>
      <c r="O89" s="3" t="s">
        <v>6</v>
      </c>
      <c r="P89" s="3"/>
      <c r="Q89" s="3"/>
      <c r="R89" s="9">
        <v>1</v>
      </c>
      <c r="S89" s="226">
        <f>S86/100*R89</f>
        <v>3.5826592999999995</v>
      </c>
      <c r="T89" s="8">
        <f>FLOOR(S89,0.01)</f>
        <v>3.5800000000000001</v>
      </c>
    </row>
    <row r="90" spans="1:20" ht="12.75">
      <c r="A90" s="426" t="s">
        <v>7</v>
      </c>
      <c r="B90" s="426"/>
      <c r="C90" s="426"/>
      <c r="D90" s="9">
        <v>3</v>
      </c>
      <c r="E90" s="226">
        <f>E86/100*D90</f>
        <v>11.966670000000001</v>
      </c>
      <c r="F90" s="8">
        <f>FLOOR(E90,0.01)</f>
        <v>11.960000000000001</v>
      </c>
      <c r="H90" s="426" t="s">
        <v>7</v>
      </c>
      <c r="I90" s="426"/>
      <c r="J90" s="426"/>
      <c r="K90" s="9">
        <v>3</v>
      </c>
      <c r="L90" s="226">
        <f>L86/100*K90</f>
        <v>25.496327999999998</v>
      </c>
      <c r="M90" s="8">
        <f>FLOOR(L90,0.01)</f>
        <v>25.490000000000002</v>
      </c>
      <c r="O90" s="426" t="s">
        <v>7</v>
      </c>
      <c r="P90" s="426"/>
      <c r="Q90" s="426"/>
      <c r="R90" s="9">
        <v>3</v>
      </c>
      <c r="S90" s="226">
        <f>S86/100*R90</f>
        <v>10.747977899999999</v>
      </c>
      <c r="T90" s="8">
        <f>FLOOR(S90,0.01)</f>
        <v>10.74</v>
      </c>
    </row>
    <row r="91" spans="1:20" ht="12.75">
      <c r="A91" s="426" t="s">
        <v>8</v>
      </c>
      <c r="B91" s="426"/>
      <c r="C91" s="426"/>
      <c r="D91" s="9">
        <v>0.80</v>
      </c>
      <c r="E91" s="226">
        <f>E86/100*D91</f>
        <v>3.1911120000000004</v>
      </c>
      <c r="F91" s="8">
        <f>FLOOR(E91,0.01)</f>
        <v>3.1899999999999999</v>
      </c>
      <c r="H91" s="426" t="s">
        <v>8</v>
      </c>
      <c r="I91" s="426"/>
      <c r="J91" s="426"/>
      <c r="K91" s="9">
        <v>0.80</v>
      </c>
      <c r="L91" s="226">
        <f>L86/100*K91</f>
        <v>6.7990208000000001</v>
      </c>
      <c r="M91" s="8">
        <f>FLOOR(L91,0.01)</f>
        <v>6.79</v>
      </c>
      <c r="O91" s="426" t="s">
        <v>8</v>
      </c>
      <c r="P91" s="426"/>
      <c r="Q91" s="426"/>
      <c r="R91" s="9">
        <v>0.80</v>
      </c>
      <c r="S91" s="226">
        <f>S86/100*R91</f>
        <v>2.8661274399999996</v>
      </c>
      <c r="T91" s="8">
        <f>FLOOR(S91,0.01)</f>
        <v>2.8599999999999999</v>
      </c>
    </row>
    <row r="92" spans="1:20" ht="12.75">
      <c r="A92" s="426" t="s">
        <v>9</v>
      </c>
      <c r="B92" s="426"/>
      <c r="C92" s="426"/>
      <c r="D92" s="9">
        <v>0.25</v>
      </c>
      <c r="E92" s="226">
        <f>E86/100*D92</f>
        <v>0.99722250000000001</v>
      </c>
      <c r="F92" s="8">
        <f>FLOOR(E92,0.01)</f>
        <v>0.98999999999999999</v>
      </c>
      <c r="H92" s="426" t="s">
        <v>9</v>
      </c>
      <c r="I92" s="426"/>
      <c r="J92" s="426"/>
      <c r="K92" s="9">
        <v>0.25</v>
      </c>
      <c r="L92" s="226">
        <f>L86/100*K92</f>
        <v>2.1246939999999999</v>
      </c>
      <c r="M92" s="8">
        <f>FLOOR(L92,0.01)</f>
        <v>2.1200000000000001</v>
      </c>
      <c r="O92" s="426" t="s">
        <v>9</v>
      </c>
      <c r="P92" s="426"/>
      <c r="Q92" s="426"/>
      <c r="R92" s="9">
        <v>0.25</v>
      </c>
      <c r="S92" s="226">
        <f>S86/100*R92</f>
        <v>0.89566482499999989</v>
      </c>
      <c r="T92" s="8">
        <f>FLOOR(S92,0.01)</f>
        <v>0.89000000000000001</v>
      </c>
    </row>
    <row r="93" spans="1:20" ht="12.75">
      <c r="A93" s="426" t="s">
        <v>10</v>
      </c>
      <c r="B93" s="426"/>
      <c r="C93" s="426"/>
      <c r="D93" s="9">
        <v>4.75</v>
      </c>
      <c r="E93" s="226">
        <f>E86/100*D93</f>
        <v>18.9472275</v>
      </c>
      <c r="F93" s="8">
        <f>FLOOR(E93,0.01)</f>
        <v>18.940000000000001</v>
      </c>
      <c r="H93" s="426" t="s">
        <v>10</v>
      </c>
      <c r="I93" s="426"/>
      <c r="J93" s="426"/>
      <c r="K93" s="9">
        <v>4.75</v>
      </c>
      <c r="L93" s="226">
        <f>L86/100*K93</f>
        <v>40.369185999999999</v>
      </c>
      <c r="M93" s="8">
        <f>FLOOR(L93,0.01)</f>
        <v>40.359999999999999</v>
      </c>
      <c r="O93" s="426" t="s">
        <v>10</v>
      </c>
      <c r="P93" s="426"/>
      <c r="Q93" s="426"/>
      <c r="R93" s="9">
        <v>4.75</v>
      </c>
      <c r="S93" s="226">
        <f>S86/100*R93</f>
        <v>17.017631674999997</v>
      </c>
      <c r="T93" s="8">
        <f>FLOOR(S93,0.01)</f>
        <v>17.010000000000002</v>
      </c>
    </row>
    <row r="94" spans="1:20" ht="12.75">
      <c r="A94" s="426" t="s">
        <v>11</v>
      </c>
      <c r="B94" s="426"/>
      <c r="C94" s="426"/>
      <c r="D94" s="9">
        <v>10</v>
      </c>
      <c r="E94" s="226">
        <f>E86/100*D94</f>
        <v>39.8889</v>
      </c>
      <c r="F94" s="8">
        <f>FLOOR(E94,0.01)</f>
        <v>39.880000000000003</v>
      </c>
      <c r="H94" s="426" t="s">
        <v>11</v>
      </c>
      <c r="I94" s="426"/>
      <c r="J94" s="426"/>
      <c r="K94" s="9">
        <v>10</v>
      </c>
      <c r="L94" s="226">
        <f>L86/100*K94</f>
        <v>84.987759999999994</v>
      </c>
      <c r="M94" s="8">
        <f>FLOOR(L94,0.01)</f>
        <v>84.980000000000004</v>
      </c>
      <c r="O94" s="426" t="s">
        <v>11</v>
      </c>
      <c r="P94" s="426"/>
      <c r="Q94" s="426"/>
      <c r="R94" s="9">
        <v>10</v>
      </c>
      <c r="S94" s="226">
        <f>S86/100*R94</f>
        <v>35.826592999999995</v>
      </c>
      <c r="T94" s="8">
        <f>FLOOR(S94,0.01)</f>
        <v>35.82</v>
      </c>
    </row>
    <row r="95" spans="1:20" ht="12.75">
      <c r="A95" s="429" t="s">
        <v>12</v>
      </c>
      <c r="B95" s="430"/>
      <c r="C95" s="431"/>
      <c r="D95" s="10">
        <f>SUM(D87:D94)</f>
        <v>35.200000000000003</v>
      </c>
      <c r="E95" s="226">
        <f>SUM(E87:E94)</f>
        <v>140.408928</v>
      </c>
      <c r="F95" s="12">
        <f>SUM(F87:F94)</f>
        <v>140.36000000000001</v>
      </c>
      <c r="H95" s="429" t="s">
        <v>12</v>
      </c>
      <c r="I95" s="430"/>
      <c r="J95" s="431"/>
      <c r="K95" s="10">
        <f>SUM(K87:K94)</f>
        <v>35.200000000000003</v>
      </c>
      <c r="L95" s="226">
        <f>SUM(L87:L94)</f>
        <v>299.15691519999996</v>
      </c>
      <c r="M95" s="12">
        <f>SUM(M87:M94)</f>
        <v>299.10000000000002</v>
      </c>
      <c r="O95" s="429" t="s">
        <v>12</v>
      </c>
      <c r="P95" s="430"/>
      <c r="Q95" s="431"/>
      <c r="R95" s="10">
        <f>SUM(R87:R94)</f>
        <v>35.200000000000003</v>
      </c>
      <c r="S95" s="226">
        <f>SUM(S87:S94)</f>
        <v>126.10960735999998</v>
      </c>
      <c r="T95" s="12">
        <f>SUM(T87:T94)</f>
        <v>126.06</v>
      </c>
    </row>
    <row r="96" spans="5:20" ht="12.75">
      <c r="E96" s="227"/>
      <c r="F96" s="224"/>
      <c r="L96" s="227"/>
      <c r="M96" s="224"/>
      <c r="S96" s="227"/>
      <c r="T96" s="224"/>
    </row>
    <row r="97" spans="1:20" ht="12.75">
      <c r="A97" s="432" t="s">
        <v>13</v>
      </c>
      <c r="B97" s="432"/>
      <c r="C97" s="432"/>
      <c r="E97" s="226">
        <f>E86+E95</f>
        <v>539.29792799999996</v>
      </c>
      <c r="F97" s="225">
        <f>F86+F95</f>
        <v>539.24900000000002</v>
      </c>
      <c r="H97" s="432" t="s">
        <v>13</v>
      </c>
      <c r="I97" s="432"/>
      <c r="J97" s="432"/>
      <c r="L97" s="226">
        <f>L86+L95</f>
        <v>1149.0345152</v>
      </c>
      <c r="M97" s="225">
        <f>M86+M95</f>
        <v>1148.9776000000002</v>
      </c>
      <c r="O97" s="432" t="s">
        <v>13</v>
      </c>
      <c r="P97" s="432"/>
      <c r="Q97" s="432"/>
      <c r="S97" s="226">
        <f>S86+S95</f>
        <v>484.37553735999995</v>
      </c>
      <c r="T97" s="225">
        <f>T86+T95</f>
        <v>484.32592999999997</v>
      </c>
    </row>
    <row r="99" spans="1:13" ht="12.75">
      <c r="A99" s="436" t="s">
        <v>195</v>
      </c>
      <c r="B99" s="436"/>
      <c r="C99" s="436"/>
      <c r="D99" s="436"/>
      <c r="E99" s="436"/>
      <c r="F99" s="436"/>
      <c r="H99" s="436" t="s">
        <v>196</v>
      </c>
      <c r="I99" s="436"/>
      <c r="J99" s="436"/>
      <c r="K99" s="436"/>
      <c r="L99" s="436"/>
      <c r="M99" s="436"/>
    </row>
    <row r="100" spans="1:13" ht="12.75">
      <c r="A100" s="427" t="s">
        <v>166</v>
      </c>
      <c r="B100" s="427"/>
      <c r="C100" s="427"/>
      <c r="D100" s="3" t="s">
        <v>3</v>
      </c>
      <c r="E100" s="8">
        <f>2*J20</f>
        <v>408.86122499999999</v>
      </c>
      <c r="F100" s="8">
        <f>E100</f>
        <v>408.86122499999999</v>
      </c>
      <c r="H100" s="427" t="s">
        <v>166</v>
      </c>
      <c r="I100" s="427"/>
      <c r="J100" s="427"/>
      <c r="K100" s="3" t="s">
        <v>3</v>
      </c>
      <c r="L100" s="8">
        <f>J21</f>
        <v>209.5413778125</v>
      </c>
      <c r="M100" s="8">
        <f>L100</f>
        <v>209.5413778125</v>
      </c>
    </row>
    <row r="101" spans="1:13" ht="12.75">
      <c r="A101" s="428" t="s">
        <v>4</v>
      </c>
      <c r="B101" s="428"/>
      <c r="C101" s="428"/>
      <c r="D101" s="5">
        <v>14</v>
      </c>
      <c r="E101" s="226">
        <f>E100/100*D101</f>
        <v>57.240571499999994</v>
      </c>
      <c r="F101" s="8">
        <f t="shared" si="15" ref="F101:F108">FLOOR(E101,0.01)</f>
        <v>57.240000000000002</v>
      </c>
      <c r="H101" s="428" t="s">
        <v>4</v>
      </c>
      <c r="I101" s="428"/>
      <c r="J101" s="428"/>
      <c r="K101" s="5">
        <v>14</v>
      </c>
      <c r="L101" s="226">
        <f>L100/100*K101</f>
        <v>29.335792893750003</v>
      </c>
      <c r="M101" s="8">
        <f t="shared" si="16" ref="M101:M108">FLOOR(L101,0.01)</f>
        <v>29.330000000000002</v>
      </c>
    </row>
    <row r="102" spans="1:13" ht="12.75">
      <c r="A102" s="426" t="s">
        <v>5</v>
      </c>
      <c r="B102" s="426"/>
      <c r="C102" s="426"/>
      <c r="D102" s="9">
        <v>1.40</v>
      </c>
      <c r="E102" s="226">
        <f>E100/100*D102</f>
        <v>5.7240571499999993</v>
      </c>
      <c r="F102" s="8">
        <f>FLOOR(E102,0.01)</f>
        <v>5.7199999999999998</v>
      </c>
      <c r="H102" s="426" t="s">
        <v>5</v>
      </c>
      <c r="I102" s="426"/>
      <c r="J102" s="426"/>
      <c r="K102" s="9">
        <v>1.40</v>
      </c>
      <c r="L102" s="226">
        <f>L100/100*K102</f>
        <v>2.9335792893749999</v>
      </c>
      <c r="M102" s="8">
        <f>FLOOR(L102,0.01)</f>
        <v>2.9300000000000002</v>
      </c>
    </row>
    <row r="103" spans="1:13" ht="12.75">
      <c r="A103" s="3" t="s">
        <v>6</v>
      </c>
      <c r="B103" s="3"/>
      <c r="C103" s="3"/>
      <c r="D103" s="9">
        <v>1</v>
      </c>
      <c r="E103" s="226">
        <f>E100/100*D103</f>
        <v>4.0886122499999997</v>
      </c>
      <c r="F103" s="8">
        <f>FLOOR(E103,0.01)</f>
        <v>4.0800000000000001</v>
      </c>
      <c r="H103" s="3" t="s">
        <v>6</v>
      </c>
      <c r="I103" s="3"/>
      <c r="J103" s="3"/>
      <c r="K103" s="9">
        <v>1</v>
      </c>
      <c r="L103" s="226">
        <f>L100/100*K103</f>
        <v>2.0954137781250002</v>
      </c>
      <c r="M103" s="8">
        <f>FLOOR(L103,0.01)</f>
        <v>2.0899999999999999</v>
      </c>
    </row>
    <row r="104" spans="1:13" ht="12.75">
      <c r="A104" s="426" t="s">
        <v>7</v>
      </c>
      <c r="B104" s="426"/>
      <c r="C104" s="426"/>
      <c r="D104" s="9">
        <v>3</v>
      </c>
      <c r="E104" s="226">
        <f>E100/100*D104</f>
        <v>12.265836749999998</v>
      </c>
      <c r="F104" s="8">
        <f>FLOOR(E104,0.01)</f>
        <v>12.26</v>
      </c>
      <c r="H104" s="426" t="s">
        <v>7</v>
      </c>
      <c r="I104" s="426"/>
      <c r="J104" s="426"/>
      <c r="K104" s="9">
        <v>3</v>
      </c>
      <c r="L104" s="226">
        <f>L100/100*K104</f>
        <v>6.286241334375001</v>
      </c>
      <c r="M104" s="8">
        <f>FLOOR(L104,0.01)</f>
        <v>6.2800000000000002</v>
      </c>
    </row>
    <row r="105" spans="1:13" ht="12.75">
      <c r="A105" s="426" t="s">
        <v>8</v>
      </c>
      <c r="B105" s="426"/>
      <c r="C105" s="426"/>
      <c r="D105" s="9">
        <v>0.80</v>
      </c>
      <c r="E105" s="226">
        <f>E100/100*D105</f>
        <v>3.2708898</v>
      </c>
      <c r="F105" s="8">
        <f>FLOOR(E105,0.01)</f>
        <v>3.27</v>
      </c>
      <c r="H105" s="426" t="s">
        <v>8</v>
      </c>
      <c r="I105" s="426"/>
      <c r="J105" s="426"/>
      <c r="K105" s="9">
        <v>0.80</v>
      </c>
      <c r="L105" s="226">
        <f>L100/100*K105</f>
        <v>1.6763310225000003</v>
      </c>
      <c r="M105" s="8">
        <f>FLOOR(L105,0.01)</f>
        <v>1.6699999999999999</v>
      </c>
    </row>
    <row r="106" spans="1:13" ht="12.75">
      <c r="A106" s="426" t="s">
        <v>9</v>
      </c>
      <c r="B106" s="426"/>
      <c r="C106" s="426"/>
      <c r="D106" s="9">
        <v>0.25</v>
      </c>
      <c r="E106" s="226">
        <f>E100/100*D106</f>
        <v>1.0221530624999999</v>
      </c>
      <c r="F106" s="8">
        <f>FLOOR(E106,0.01)</f>
        <v>1.02</v>
      </c>
      <c r="H106" s="426" t="s">
        <v>9</v>
      </c>
      <c r="I106" s="426"/>
      <c r="J106" s="426"/>
      <c r="K106" s="9">
        <v>0.25</v>
      </c>
      <c r="L106" s="226">
        <f>L100/100*K106</f>
        <v>0.52385344453125005</v>
      </c>
      <c r="M106" s="8">
        <f>FLOOR(L106,0.01)</f>
        <v>0.52000000000000002</v>
      </c>
    </row>
    <row r="107" spans="1:13" ht="12.75">
      <c r="A107" s="426" t="s">
        <v>10</v>
      </c>
      <c r="B107" s="426"/>
      <c r="C107" s="426"/>
      <c r="D107" s="9">
        <v>4.75</v>
      </c>
      <c r="E107" s="226">
        <f>E100/100*D107</f>
        <v>19.4209081875</v>
      </c>
      <c r="F107" s="8">
        <f>FLOOR(E107,0.01)</f>
        <v>19.420000000000002</v>
      </c>
      <c r="H107" s="426" t="s">
        <v>10</v>
      </c>
      <c r="I107" s="426"/>
      <c r="J107" s="426"/>
      <c r="K107" s="9">
        <v>4.75</v>
      </c>
      <c r="L107" s="226">
        <f>L100/100*K107</f>
        <v>9.9532154460937505</v>
      </c>
      <c r="M107" s="8">
        <f>FLOOR(L107,0.01)</f>
        <v>9.9500000000000011</v>
      </c>
    </row>
    <row r="108" spans="1:13" ht="12.75">
      <c r="A108" s="426" t="s">
        <v>11</v>
      </c>
      <c r="B108" s="426"/>
      <c r="C108" s="426"/>
      <c r="D108" s="9">
        <v>10</v>
      </c>
      <c r="E108" s="226">
        <f>E100/100*D108</f>
        <v>40.886122499999999</v>
      </c>
      <c r="F108" s="8">
        <f>FLOOR(E108,0.01)</f>
        <v>40.880000000000003</v>
      </c>
      <c r="H108" s="426" t="s">
        <v>11</v>
      </c>
      <c r="I108" s="426"/>
      <c r="J108" s="426"/>
      <c r="K108" s="9">
        <v>10</v>
      </c>
      <c r="L108" s="226">
        <f>L100/100*K108</f>
        <v>20.954137781250001</v>
      </c>
      <c r="M108" s="8">
        <f>FLOOR(L108,0.01)</f>
        <v>20.949999999999999</v>
      </c>
    </row>
    <row r="109" spans="1:13" ht="12.75">
      <c r="A109" s="429" t="s">
        <v>12</v>
      </c>
      <c r="B109" s="430"/>
      <c r="C109" s="431"/>
      <c r="D109" s="10">
        <f>SUM(D101:D108)</f>
        <v>35.200000000000003</v>
      </c>
      <c r="E109" s="226">
        <f>SUM(E101:E108)</f>
        <v>143.91915119999999</v>
      </c>
      <c r="F109" s="12">
        <f>SUM(F101:F108)</f>
        <v>143.89000000000002</v>
      </c>
      <c r="H109" s="429" t="s">
        <v>12</v>
      </c>
      <c r="I109" s="430"/>
      <c r="J109" s="431"/>
      <c r="K109" s="10">
        <f>SUM(K101:K108)</f>
        <v>35.200000000000003</v>
      </c>
      <c r="L109" s="226">
        <f>SUM(L101:L108)</f>
        <v>73.758564989999996</v>
      </c>
      <c r="M109" s="12">
        <f>SUM(M101:M108)</f>
        <v>73.720000000000013</v>
      </c>
    </row>
    <row r="110" spans="5:13" ht="12.75">
      <c r="E110" s="227"/>
      <c r="F110" s="224"/>
      <c r="L110" s="227"/>
      <c r="M110" s="224"/>
    </row>
    <row r="111" spans="1:13" ht="12.75">
      <c r="A111" s="432" t="s">
        <v>13</v>
      </c>
      <c r="B111" s="432"/>
      <c r="C111" s="432"/>
      <c r="E111" s="226">
        <f>E100+E109</f>
        <v>552.78037619999998</v>
      </c>
      <c r="F111" s="225">
        <f>F100+F109</f>
        <v>552.75122499999998</v>
      </c>
      <c r="H111" s="432" t="s">
        <v>13</v>
      </c>
      <c r="I111" s="432"/>
      <c r="J111" s="432"/>
      <c r="L111" s="226">
        <f>L100+L109</f>
        <v>283.29994280250003</v>
      </c>
      <c r="M111" s="225">
        <f>M100+M109</f>
        <v>283.26137781250003</v>
      </c>
    </row>
    <row r="114" spans="1:1" ht="12.75">
      <c r="A114" t="s">
        <v>124</v>
      </c>
    </row>
    <row r="116" spans="1:20" ht="12.75">
      <c r="A116" s="435" t="s">
        <v>131</v>
      </c>
      <c r="B116" s="435"/>
      <c r="C116" s="435"/>
      <c r="D116" s="435"/>
      <c r="E116" s="435"/>
      <c r="F116" s="435"/>
      <c r="H116" s="435" t="s">
        <v>132</v>
      </c>
      <c r="I116" s="435"/>
      <c r="J116" s="435"/>
      <c r="K116" s="435"/>
      <c r="L116" s="435"/>
      <c r="M116" s="435"/>
      <c r="O116" s="435" t="s">
        <v>160</v>
      </c>
      <c r="P116" s="435"/>
      <c r="Q116" s="435"/>
      <c r="R116" s="435"/>
      <c r="S116" s="435"/>
      <c r="T116" s="435"/>
    </row>
    <row r="117" spans="1:20" ht="12.75">
      <c r="A117" s="427" t="s">
        <v>166</v>
      </c>
      <c r="B117" s="427"/>
      <c r="C117" s="427"/>
      <c r="D117" s="3" t="s">
        <v>3</v>
      </c>
      <c r="E117" s="8">
        <f>J13</f>
        <v>337.69999999999999</v>
      </c>
      <c r="F117" s="8">
        <f>E117</f>
        <v>337.69999999999999</v>
      </c>
      <c r="H117" s="427" t="s">
        <v>166</v>
      </c>
      <c r="I117" s="427"/>
      <c r="J117" s="427"/>
      <c r="K117" s="3" t="s">
        <v>3</v>
      </c>
      <c r="L117" s="8">
        <f>J14</f>
        <v>347.83099999999996</v>
      </c>
      <c r="M117" s="8">
        <f>L117</f>
        <v>347.83099999999996</v>
      </c>
      <c r="O117" s="427" t="s">
        <v>166</v>
      </c>
      <c r="P117" s="427"/>
      <c r="Q117" s="427"/>
      <c r="R117" s="3" t="s">
        <v>3</v>
      </c>
      <c r="S117" s="8">
        <f>J15</f>
        <v>358.26592999999997</v>
      </c>
      <c r="T117" s="8">
        <f>S117</f>
        <v>358.26592999999997</v>
      </c>
    </row>
    <row r="118" spans="1:20" ht="12.75">
      <c r="A118" s="428" t="s">
        <v>4</v>
      </c>
      <c r="B118" s="428"/>
      <c r="C118" s="428"/>
      <c r="D118" s="5">
        <v>14</v>
      </c>
      <c r="E118" s="226">
        <f>E117/100*D118</f>
        <v>47.277999999999999</v>
      </c>
      <c r="F118" s="8">
        <f t="shared" si="17" ref="F118:F125">FLOOR(E118,0.01)</f>
        <v>47.270000000000003</v>
      </c>
      <c r="H118" s="428" t="s">
        <v>4</v>
      </c>
      <c r="I118" s="428"/>
      <c r="J118" s="428"/>
      <c r="K118" s="5">
        <v>14</v>
      </c>
      <c r="L118" s="226">
        <f>L117/100*K118</f>
        <v>48.696339999999992</v>
      </c>
      <c r="M118" s="8">
        <f t="shared" si="18" ref="M118:M125">FLOOR(L118,0.01)</f>
        <v>48.689999999999998</v>
      </c>
      <c r="O118" s="428" t="s">
        <v>4</v>
      </c>
      <c r="P118" s="428"/>
      <c r="Q118" s="428"/>
      <c r="R118" s="5">
        <v>14</v>
      </c>
      <c r="S118" s="226">
        <f>S117/100*R118</f>
        <v>50.157230199999994</v>
      </c>
      <c r="T118" s="8">
        <f t="shared" si="19" ref="T118:T125">FLOOR(S118,0.01)</f>
        <v>50.149999999999999</v>
      </c>
    </row>
    <row r="119" spans="1:20" ht="12.75">
      <c r="A119" s="426" t="s">
        <v>5</v>
      </c>
      <c r="B119" s="426"/>
      <c r="C119" s="426"/>
      <c r="D119" s="9">
        <v>1.40</v>
      </c>
      <c r="E119" s="226">
        <f>E117/100*D119</f>
        <v>4.7277999999999993</v>
      </c>
      <c r="F119" s="8">
        <f>FLOOR(E119,0.01)</f>
        <v>4.7199999999999998</v>
      </c>
      <c r="H119" s="426" t="s">
        <v>5</v>
      </c>
      <c r="I119" s="426"/>
      <c r="J119" s="426"/>
      <c r="K119" s="9">
        <v>1.40</v>
      </c>
      <c r="L119" s="226">
        <f>L117/100*K119</f>
        <v>4.8696339999999987</v>
      </c>
      <c r="M119" s="8">
        <f>FLOOR(L119,0.01)</f>
        <v>4.8600000000000003</v>
      </c>
      <c r="O119" s="426" t="s">
        <v>5</v>
      </c>
      <c r="P119" s="426"/>
      <c r="Q119" s="426"/>
      <c r="R119" s="9">
        <v>1.40</v>
      </c>
      <c r="S119" s="226">
        <f>S117/100*R119</f>
        <v>5.0157230199999994</v>
      </c>
      <c r="T119" s="8">
        <f>FLOOR(S119,0.01)</f>
        <v>5.0099999999999998</v>
      </c>
    </row>
    <row r="120" spans="1:20" ht="12.75">
      <c r="A120" s="3" t="s">
        <v>6</v>
      </c>
      <c r="B120" s="3"/>
      <c r="C120" s="3"/>
      <c r="D120" s="9">
        <v>1</v>
      </c>
      <c r="E120" s="226">
        <f>E117/100*D120</f>
        <v>3.3769999999999998</v>
      </c>
      <c r="F120" s="8">
        <f>FLOOR(E120,0.01)</f>
        <v>3.3700000000000001</v>
      </c>
      <c r="H120" s="3" t="s">
        <v>6</v>
      </c>
      <c r="I120" s="3"/>
      <c r="J120" s="3"/>
      <c r="K120" s="9">
        <v>1</v>
      </c>
      <c r="L120" s="226">
        <f>L117/100*K120</f>
        <v>3.4783099999999996</v>
      </c>
      <c r="M120" s="8">
        <f>FLOOR(L120,0.01)</f>
        <v>3.4700000000000002</v>
      </c>
      <c r="O120" s="3" t="s">
        <v>6</v>
      </c>
      <c r="P120" s="3"/>
      <c r="Q120" s="3"/>
      <c r="R120" s="9">
        <v>1</v>
      </c>
      <c r="S120" s="226">
        <f>S117/100*R120</f>
        <v>3.5826592999999995</v>
      </c>
      <c r="T120" s="8">
        <f>FLOOR(S120,0.01)</f>
        <v>3.5800000000000001</v>
      </c>
    </row>
    <row r="121" spans="1:20" ht="12.75">
      <c r="A121" s="426" t="s">
        <v>7</v>
      </c>
      <c r="B121" s="426"/>
      <c r="C121" s="426"/>
      <c r="D121" s="9">
        <v>3</v>
      </c>
      <c r="E121" s="226">
        <f>E117/100*D121</f>
        <v>10.131</v>
      </c>
      <c r="F121" s="8">
        <f>FLOOR(E121,0.01)</f>
        <v>10.130000000000001</v>
      </c>
      <c r="H121" s="426" t="s">
        <v>7</v>
      </c>
      <c r="I121" s="426"/>
      <c r="J121" s="426"/>
      <c r="K121" s="9">
        <v>3</v>
      </c>
      <c r="L121" s="226">
        <f>L117/100*K121</f>
        <v>10.434929999999998</v>
      </c>
      <c r="M121" s="8">
        <f>FLOOR(L121,0.01)</f>
        <v>10.43</v>
      </c>
      <c r="O121" s="426" t="s">
        <v>7</v>
      </c>
      <c r="P121" s="426"/>
      <c r="Q121" s="426"/>
      <c r="R121" s="9">
        <v>3</v>
      </c>
      <c r="S121" s="226">
        <f>S117/100*R121</f>
        <v>10.747977899999999</v>
      </c>
      <c r="T121" s="8">
        <f>FLOOR(S121,0.01)</f>
        <v>10.74</v>
      </c>
    </row>
    <row r="122" spans="1:20" ht="12.75">
      <c r="A122" s="426" t="s">
        <v>8</v>
      </c>
      <c r="B122" s="426"/>
      <c r="C122" s="426"/>
      <c r="D122" s="9">
        <v>0.80</v>
      </c>
      <c r="E122" s="226">
        <f>E117/100*D122</f>
        <v>2.7016</v>
      </c>
      <c r="F122" s="8">
        <f>FLOOR(E122,0.01)</f>
        <v>2.7000000000000002</v>
      </c>
      <c r="H122" s="426" t="s">
        <v>8</v>
      </c>
      <c r="I122" s="426"/>
      <c r="J122" s="426"/>
      <c r="K122" s="9">
        <v>0.80</v>
      </c>
      <c r="L122" s="226">
        <f>L117/100*K122</f>
        <v>2.782648</v>
      </c>
      <c r="M122" s="8">
        <f>FLOOR(L122,0.01)</f>
        <v>2.7800000000000002</v>
      </c>
      <c r="O122" s="426" t="s">
        <v>8</v>
      </c>
      <c r="P122" s="426"/>
      <c r="Q122" s="426"/>
      <c r="R122" s="9">
        <v>0.80</v>
      </c>
      <c r="S122" s="226">
        <f>S117/100*R122</f>
        <v>2.8661274399999996</v>
      </c>
      <c r="T122" s="8">
        <f>FLOOR(S122,0.01)</f>
        <v>2.8599999999999999</v>
      </c>
    </row>
    <row r="123" spans="1:20" ht="12.75">
      <c r="A123" s="426" t="s">
        <v>9</v>
      </c>
      <c r="B123" s="426"/>
      <c r="C123" s="426"/>
      <c r="D123" s="9">
        <v>0.25</v>
      </c>
      <c r="E123" s="226">
        <f>E117/100*D123</f>
        <v>0.84424999999999994</v>
      </c>
      <c r="F123" s="8">
        <f>FLOOR(E123,0.01)</f>
        <v>0.83999999999999997</v>
      </c>
      <c r="H123" s="426" t="s">
        <v>9</v>
      </c>
      <c r="I123" s="426"/>
      <c r="J123" s="426"/>
      <c r="K123" s="9">
        <v>0.25</v>
      </c>
      <c r="L123" s="226">
        <f>L117/100*K123</f>
        <v>0.86957749999999989</v>
      </c>
      <c r="M123" s="8">
        <f>FLOOR(L123,0.01)</f>
        <v>0.85999999999999999</v>
      </c>
      <c r="O123" s="426" t="s">
        <v>9</v>
      </c>
      <c r="P123" s="426"/>
      <c r="Q123" s="426"/>
      <c r="R123" s="9">
        <v>0.25</v>
      </c>
      <c r="S123" s="226">
        <f>S117/100*R123</f>
        <v>0.89566482499999989</v>
      </c>
      <c r="T123" s="8">
        <f>FLOOR(S123,0.01)</f>
        <v>0.89000000000000001</v>
      </c>
    </row>
    <row r="124" spans="1:20" ht="12.75">
      <c r="A124" s="426" t="s">
        <v>10</v>
      </c>
      <c r="B124" s="426"/>
      <c r="C124" s="426"/>
      <c r="D124" s="9">
        <v>4.75</v>
      </c>
      <c r="E124" s="226">
        <f>E117/100*D124</f>
        <v>16.040749999999999</v>
      </c>
      <c r="F124" s="8">
        <f>FLOOR(E124,0.01)</f>
        <v>16.039999999999999</v>
      </c>
      <c r="H124" s="426" t="s">
        <v>10</v>
      </c>
      <c r="I124" s="426"/>
      <c r="J124" s="426"/>
      <c r="K124" s="9">
        <v>4.75</v>
      </c>
      <c r="L124" s="226">
        <f>L117/100*K124</f>
        <v>16.521972499999997</v>
      </c>
      <c r="M124" s="8">
        <f>FLOOR(L124,0.01)</f>
        <v>16.52</v>
      </c>
      <c r="O124" s="426" t="s">
        <v>10</v>
      </c>
      <c r="P124" s="426"/>
      <c r="Q124" s="426"/>
      <c r="R124" s="9">
        <v>4.75</v>
      </c>
      <c r="S124" s="226">
        <f>S117/100*R124</f>
        <v>17.017631674999997</v>
      </c>
      <c r="T124" s="8">
        <f>FLOOR(S124,0.01)</f>
        <v>17.010000000000002</v>
      </c>
    </row>
    <row r="125" spans="1:20" ht="12.75">
      <c r="A125" s="426" t="s">
        <v>11</v>
      </c>
      <c r="B125" s="426"/>
      <c r="C125" s="426"/>
      <c r="D125" s="9">
        <v>5</v>
      </c>
      <c r="E125" s="226">
        <f>E117/100*D125</f>
        <v>16.884999999999998</v>
      </c>
      <c r="F125" s="8">
        <f>FLOOR(E125,0.01)</f>
        <v>16.879999999999999</v>
      </c>
      <c r="H125" s="426" t="s">
        <v>11</v>
      </c>
      <c r="I125" s="426"/>
      <c r="J125" s="426"/>
      <c r="K125" s="9">
        <v>5</v>
      </c>
      <c r="L125" s="226">
        <f>L117/100*K125</f>
        <v>17.391549999999999</v>
      </c>
      <c r="M125" s="8">
        <f>FLOOR(L125,0.01)</f>
        <v>17.390000000000001</v>
      </c>
      <c r="O125" s="426" t="s">
        <v>11</v>
      </c>
      <c r="P125" s="426"/>
      <c r="Q125" s="426"/>
      <c r="R125" s="9">
        <v>5</v>
      </c>
      <c r="S125" s="226">
        <f>S117/100*R125</f>
        <v>17.913296499999998</v>
      </c>
      <c r="T125" s="8">
        <f>FLOOR(S125,0.01)</f>
        <v>17.91</v>
      </c>
    </row>
    <row r="126" spans="1:20" ht="12.75">
      <c r="A126" s="429" t="s">
        <v>12</v>
      </c>
      <c r="B126" s="430"/>
      <c r="C126" s="431"/>
      <c r="D126" s="10">
        <f>SUM(D118:D125)</f>
        <v>30.199999999999999</v>
      </c>
      <c r="E126" s="226">
        <f>SUM(E118:E125)</f>
        <v>101.9854</v>
      </c>
      <c r="F126" s="12">
        <f>SUM(F118:F125)</f>
        <v>101.94999999999999</v>
      </c>
      <c r="H126" s="429" t="s">
        <v>12</v>
      </c>
      <c r="I126" s="430"/>
      <c r="J126" s="431"/>
      <c r="K126" s="10">
        <f>SUM(K118:K125)</f>
        <v>30.199999999999999</v>
      </c>
      <c r="L126" s="226">
        <f>SUM(L118:L125)</f>
        <v>105.04496199999997</v>
      </c>
      <c r="M126" s="12">
        <f>SUM(M118:M125)</f>
        <v>104.99999999999999</v>
      </c>
      <c r="O126" s="429" t="s">
        <v>12</v>
      </c>
      <c r="P126" s="430"/>
      <c r="Q126" s="431"/>
      <c r="R126" s="10">
        <f>SUM(R118:R125)</f>
        <v>30.199999999999999</v>
      </c>
      <c r="S126" s="226">
        <f>SUM(S118:S125)</f>
        <v>108.19631085999998</v>
      </c>
      <c r="T126" s="12">
        <f>SUM(T118:T125)</f>
        <v>108.14999999999999</v>
      </c>
    </row>
    <row r="127" spans="5:20" ht="12.75">
      <c r="E127" s="227"/>
      <c r="F127" s="224"/>
      <c r="L127" s="227"/>
      <c r="M127" s="224"/>
      <c r="S127" s="227"/>
      <c r="T127" s="224"/>
    </row>
    <row r="128" spans="1:20" ht="12.75">
      <c r="A128" s="432" t="s">
        <v>13</v>
      </c>
      <c r="B128" s="432"/>
      <c r="C128" s="432"/>
      <c r="E128" s="226">
        <f>E117+E126</f>
        <v>439.68539999999996</v>
      </c>
      <c r="F128" s="225">
        <f>F117+F126</f>
        <v>439.64999999999998</v>
      </c>
      <c r="H128" s="432" t="s">
        <v>13</v>
      </c>
      <c r="I128" s="432"/>
      <c r="J128" s="432"/>
      <c r="L128" s="226">
        <f>L117+L126</f>
        <v>452.87596199999996</v>
      </c>
      <c r="M128" s="225">
        <f>M117+M126</f>
        <v>452.83099999999996</v>
      </c>
      <c r="O128" s="432" t="s">
        <v>13</v>
      </c>
      <c r="P128" s="432"/>
      <c r="Q128" s="432"/>
      <c r="S128" s="226">
        <f>S117+S126</f>
        <v>466.46224085999995</v>
      </c>
      <c r="T128" s="225">
        <f>T117+T126</f>
        <v>466.41592999999995</v>
      </c>
    </row>
    <row r="130" spans="1:20" ht="12.75">
      <c r="A130" s="434" t="s">
        <v>219</v>
      </c>
      <c r="B130" s="434"/>
      <c r="C130" s="434"/>
      <c r="D130" s="434"/>
      <c r="E130" s="434"/>
      <c r="F130" s="434"/>
      <c r="H130" s="434" t="s">
        <v>219</v>
      </c>
      <c r="I130" s="434"/>
      <c r="J130" s="434"/>
      <c r="K130" s="434"/>
      <c r="L130" s="434"/>
      <c r="M130" s="434"/>
      <c r="O130" s="434" t="s">
        <v>219</v>
      </c>
      <c r="P130" s="434"/>
      <c r="Q130" s="434"/>
      <c r="R130" s="434"/>
      <c r="S130" s="434"/>
      <c r="T130" s="434"/>
    </row>
    <row r="131" spans="1:20" ht="12.75">
      <c r="A131" s="427" t="s">
        <v>166</v>
      </c>
      <c r="B131" s="427"/>
      <c r="C131" s="427"/>
      <c r="D131" s="3" t="s">
        <v>3</v>
      </c>
      <c r="E131" s="8">
        <f>J7*0.6</f>
        <v>469.19999999999999</v>
      </c>
      <c r="F131" s="8">
        <f>E131</f>
        <v>469.19999999999999</v>
      </c>
      <c r="H131" s="427" t="s">
        <v>166</v>
      </c>
      <c r="I131" s="427"/>
      <c r="J131" s="427"/>
      <c r="K131" s="3" t="s">
        <v>3</v>
      </c>
      <c r="L131" s="8">
        <f>J8*0.6</f>
        <v>487.96799999999996</v>
      </c>
      <c r="M131" s="8">
        <f>L131</f>
        <v>487.96799999999996</v>
      </c>
      <c r="O131" s="427" t="s">
        <v>166</v>
      </c>
      <c r="P131" s="427"/>
      <c r="Q131" s="427"/>
      <c r="R131" s="3" t="s">
        <v>3</v>
      </c>
      <c r="S131" s="8">
        <f>J9*0.6</f>
        <v>509.92655999999999</v>
      </c>
      <c r="T131" s="8">
        <f>S131</f>
        <v>509.92655999999999</v>
      </c>
    </row>
    <row r="132" spans="1:20" ht="12.75">
      <c r="A132" s="428" t="s">
        <v>4</v>
      </c>
      <c r="B132" s="428"/>
      <c r="C132" s="428"/>
      <c r="D132" s="5">
        <v>14</v>
      </c>
      <c r="E132" s="226">
        <f>E131/100*D132</f>
        <v>65.688000000000002</v>
      </c>
      <c r="F132" s="8">
        <f t="shared" si="20" ref="F132:F139">FLOOR(E132,0.01)</f>
        <v>65.680000000000007</v>
      </c>
      <c r="H132" s="428" t="s">
        <v>4</v>
      </c>
      <c r="I132" s="428"/>
      <c r="J132" s="428"/>
      <c r="K132" s="5">
        <v>14</v>
      </c>
      <c r="L132" s="226">
        <f>L131/100*K132</f>
        <v>68.315519999999992</v>
      </c>
      <c r="M132" s="8">
        <f t="shared" si="21" ref="M132:M139">FLOOR(L132,0.01)</f>
        <v>68.310000000000002</v>
      </c>
      <c r="O132" s="428" t="s">
        <v>4</v>
      </c>
      <c r="P132" s="428"/>
      <c r="Q132" s="428"/>
      <c r="R132" s="5">
        <v>14</v>
      </c>
      <c r="S132" s="226">
        <f>S131/100*R132</f>
        <v>71.389718399999992</v>
      </c>
      <c r="T132" s="8">
        <f t="shared" si="22" ref="T132:T139">FLOOR(S132,0.01)</f>
        <v>71.379999999999995</v>
      </c>
    </row>
    <row r="133" spans="1:20" ht="12.75">
      <c r="A133" s="426" t="s">
        <v>5</v>
      </c>
      <c r="B133" s="426"/>
      <c r="C133" s="426"/>
      <c r="D133" s="9">
        <v>1.40</v>
      </c>
      <c r="E133" s="226">
        <f>E131/100*D133</f>
        <v>6.5687999999999995</v>
      </c>
      <c r="F133" s="8">
        <f>FLOOR(E133,0.01)</f>
        <v>6.5600000000000005</v>
      </c>
      <c r="H133" s="426" t="s">
        <v>5</v>
      </c>
      <c r="I133" s="426"/>
      <c r="J133" s="426"/>
      <c r="K133" s="9">
        <v>1.40</v>
      </c>
      <c r="L133" s="226">
        <f>L131/100*K133</f>
        <v>6.8315519999999994</v>
      </c>
      <c r="M133" s="8">
        <f>FLOOR(L133,0.01)</f>
        <v>6.8300000000000001</v>
      </c>
      <c r="O133" s="426" t="s">
        <v>5</v>
      </c>
      <c r="P133" s="426"/>
      <c r="Q133" s="426"/>
      <c r="R133" s="9">
        <v>1.40</v>
      </c>
      <c r="S133" s="226">
        <f>S131/100*R133</f>
        <v>7.1389718399999991</v>
      </c>
      <c r="T133" s="8">
        <f>FLOOR(S133,0.01)</f>
        <v>7.1299999999999999</v>
      </c>
    </row>
    <row r="134" spans="1:20" ht="12.75">
      <c r="A134" s="3" t="s">
        <v>6</v>
      </c>
      <c r="B134" s="3"/>
      <c r="C134" s="3"/>
      <c r="D134" s="9">
        <v>1</v>
      </c>
      <c r="E134" s="226">
        <f>E131/100*D134</f>
        <v>4.6920000000000002</v>
      </c>
      <c r="F134" s="8">
        <f>FLOOR(E134,0.01)</f>
        <v>4.6900000000000004</v>
      </c>
      <c r="H134" s="3" t="s">
        <v>6</v>
      </c>
      <c r="I134" s="3"/>
      <c r="J134" s="3"/>
      <c r="K134" s="9">
        <v>1</v>
      </c>
      <c r="L134" s="226">
        <f>L131/100*K134</f>
        <v>4.8796799999999996</v>
      </c>
      <c r="M134" s="8">
        <f>FLOOR(L134,0.01)</f>
        <v>4.8700000000000001</v>
      </c>
      <c r="O134" s="3" t="s">
        <v>6</v>
      </c>
      <c r="P134" s="3"/>
      <c r="Q134" s="3"/>
      <c r="R134" s="9">
        <v>1</v>
      </c>
      <c r="S134" s="226">
        <f>S131/100*R134</f>
        <v>5.0992655999999998</v>
      </c>
      <c r="T134" s="8">
        <f>FLOOR(S134,0.01)</f>
        <v>5.0899999999999999</v>
      </c>
    </row>
    <row r="135" spans="1:20" ht="12.75">
      <c r="A135" s="426" t="s">
        <v>7</v>
      </c>
      <c r="B135" s="426"/>
      <c r="C135" s="426"/>
      <c r="D135" s="9">
        <v>3</v>
      </c>
      <c r="E135" s="226">
        <f>E131/100*D135</f>
        <v>14.076000000000001</v>
      </c>
      <c r="F135" s="8">
        <f>FLOOR(E135,0.01)</f>
        <v>14.07</v>
      </c>
      <c r="H135" s="426" t="s">
        <v>7</v>
      </c>
      <c r="I135" s="426"/>
      <c r="J135" s="426"/>
      <c r="K135" s="9">
        <v>3</v>
      </c>
      <c r="L135" s="226">
        <f>L131/100*K135</f>
        <v>14.639039999999998</v>
      </c>
      <c r="M135" s="8">
        <f>FLOOR(L135,0.01)</f>
        <v>14.630000000000001</v>
      </c>
      <c r="O135" s="426" t="s">
        <v>7</v>
      </c>
      <c r="P135" s="426"/>
      <c r="Q135" s="426"/>
      <c r="R135" s="9">
        <v>3</v>
      </c>
      <c r="S135" s="226">
        <f>S131/100*R135</f>
        <v>15.2977968</v>
      </c>
      <c r="T135" s="8">
        <f>FLOOR(S135,0.01)</f>
        <v>15.290000000000001</v>
      </c>
    </row>
    <row r="136" spans="1:20" ht="12.75">
      <c r="A136" s="426" t="s">
        <v>8</v>
      </c>
      <c r="B136" s="426"/>
      <c r="C136" s="426"/>
      <c r="D136" s="9">
        <v>0.80</v>
      </c>
      <c r="E136" s="226">
        <f>E131/100*D136</f>
        <v>3.7536000000000005</v>
      </c>
      <c r="F136" s="8">
        <f>FLOOR(E136,0.01)</f>
        <v>3.75</v>
      </c>
      <c r="H136" s="426" t="s">
        <v>8</v>
      </c>
      <c r="I136" s="426"/>
      <c r="J136" s="426"/>
      <c r="K136" s="9">
        <v>0.80</v>
      </c>
      <c r="L136" s="226">
        <f>L131/100*K136</f>
        <v>3.9037439999999997</v>
      </c>
      <c r="M136" s="8">
        <f>FLOOR(L136,0.01)</f>
        <v>3.8999999999999999</v>
      </c>
      <c r="O136" s="426" t="s">
        <v>8</v>
      </c>
      <c r="P136" s="426"/>
      <c r="Q136" s="426"/>
      <c r="R136" s="9">
        <v>0.80</v>
      </c>
      <c r="S136" s="226">
        <f>S131/100*R136</f>
        <v>4.0794124800000002</v>
      </c>
      <c r="T136" s="8">
        <f>FLOOR(S136,0.01)</f>
        <v>4.0700000000000003</v>
      </c>
    </row>
    <row r="137" spans="1:20" ht="12.75">
      <c r="A137" s="426" t="s">
        <v>9</v>
      </c>
      <c r="B137" s="426"/>
      <c r="C137" s="426"/>
      <c r="D137" s="9">
        <v>0.25</v>
      </c>
      <c r="E137" s="226">
        <f>E131/100*D137</f>
        <v>1.173</v>
      </c>
      <c r="F137" s="8">
        <f>FLOOR(E137,0.01)</f>
        <v>1.1699999999999999</v>
      </c>
      <c r="H137" s="426" t="s">
        <v>9</v>
      </c>
      <c r="I137" s="426"/>
      <c r="J137" s="426"/>
      <c r="K137" s="9">
        <v>0.25</v>
      </c>
      <c r="L137" s="226">
        <f>L131/100*K137</f>
        <v>1.2199199999999999</v>
      </c>
      <c r="M137" s="8">
        <f>FLOOR(L137,0.01)</f>
        <v>1.21</v>
      </c>
      <c r="O137" s="426" t="s">
        <v>9</v>
      </c>
      <c r="P137" s="426"/>
      <c r="Q137" s="426"/>
      <c r="R137" s="9">
        <v>0.25</v>
      </c>
      <c r="S137" s="226">
        <f>S131/100*R137</f>
        <v>1.2748164</v>
      </c>
      <c r="T137" s="8">
        <f>FLOOR(S137,0.01)</f>
        <v>1.27</v>
      </c>
    </row>
    <row r="138" spans="1:20" ht="12.75">
      <c r="A138" s="426" t="s">
        <v>10</v>
      </c>
      <c r="B138" s="426"/>
      <c r="C138" s="426"/>
      <c r="D138" s="9">
        <v>4.75</v>
      </c>
      <c r="E138" s="226">
        <f>E131/100*D138</f>
        <v>22.286999999999999</v>
      </c>
      <c r="F138" s="8">
        <f>FLOOR(E138,0.01)</f>
        <v>22.280000000000001</v>
      </c>
      <c r="H138" s="426" t="s">
        <v>10</v>
      </c>
      <c r="I138" s="426"/>
      <c r="J138" s="426"/>
      <c r="K138" s="9">
        <v>4.75</v>
      </c>
      <c r="L138" s="226">
        <f>L131/100*K138</f>
        <v>23.178479999999997</v>
      </c>
      <c r="M138" s="8">
        <f>FLOOR(L138,0.01)</f>
        <v>23.170000000000002</v>
      </c>
      <c r="O138" s="426" t="s">
        <v>10</v>
      </c>
      <c r="P138" s="426"/>
      <c r="Q138" s="426"/>
      <c r="R138" s="9">
        <v>4.75</v>
      </c>
      <c r="S138" s="226">
        <f>S131/100*R138</f>
        <v>24.221511599999999</v>
      </c>
      <c r="T138" s="8">
        <f>FLOOR(S138,0.01)</f>
        <v>24.219999999999999</v>
      </c>
    </row>
    <row r="139" spans="1:20" ht="12.75">
      <c r="A139" s="426" t="s">
        <v>11</v>
      </c>
      <c r="B139" s="426"/>
      <c r="C139" s="426"/>
      <c r="D139" s="9">
        <v>5</v>
      </c>
      <c r="E139" s="226">
        <f>E131/100*D139</f>
        <v>23.460000000000001</v>
      </c>
      <c r="F139" s="8">
        <f>FLOOR(E139,0.01)</f>
        <v>23.460000000000001</v>
      </c>
      <c r="H139" s="426" t="s">
        <v>11</v>
      </c>
      <c r="I139" s="426"/>
      <c r="J139" s="426"/>
      <c r="K139" s="9">
        <v>5</v>
      </c>
      <c r="L139" s="226">
        <f>L131/100*K139</f>
        <v>24.398399999999999</v>
      </c>
      <c r="M139" s="8">
        <f>FLOOR(L139,0.01)</f>
        <v>24.390000000000001</v>
      </c>
      <c r="O139" s="426" t="s">
        <v>11</v>
      </c>
      <c r="P139" s="426"/>
      <c r="Q139" s="426"/>
      <c r="R139" s="9">
        <v>5</v>
      </c>
      <c r="S139" s="226">
        <f>S131/100*R139</f>
        <v>25.496327999999998</v>
      </c>
      <c r="T139" s="8">
        <f>FLOOR(S139,0.01)</f>
        <v>25.490000000000002</v>
      </c>
    </row>
    <row r="140" spans="1:20" ht="12.75">
      <c r="A140" s="429" t="s">
        <v>12</v>
      </c>
      <c r="B140" s="430"/>
      <c r="C140" s="431"/>
      <c r="D140" s="10">
        <f>SUM(D132:D139)</f>
        <v>30.199999999999999</v>
      </c>
      <c r="E140" s="226">
        <f>SUM(E132:E139)</f>
        <v>141.69840000000002</v>
      </c>
      <c r="F140" s="12">
        <f>SUM(F132:F139)</f>
        <v>141.66</v>
      </c>
      <c r="H140" s="429" t="s">
        <v>12</v>
      </c>
      <c r="I140" s="430"/>
      <c r="J140" s="431"/>
      <c r="K140" s="10">
        <f>SUM(K132:K139)</f>
        <v>30.199999999999999</v>
      </c>
      <c r="L140" s="226">
        <f>SUM(L132:L139)</f>
        <v>147.36633599999999</v>
      </c>
      <c r="M140" s="12">
        <f>SUM(M132:M139)</f>
        <v>147.31</v>
      </c>
      <c r="O140" s="429" t="s">
        <v>12</v>
      </c>
      <c r="P140" s="430"/>
      <c r="Q140" s="431"/>
      <c r="R140" s="10">
        <f>SUM(R132:R139)</f>
        <v>30.199999999999999</v>
      </c>
      <c r="S140" s="226">
        <f>SUM(S132:S139)</f>
        <v>153.99782112</v>
      </c>
      <c r="T140" s="12">
        <f>SUM(T132:T139)</f>
        <v>153.94</v>
      </c>
    </row>
    <row r="141" spans="5:20" ht="12.75">
      <c r="E141" s="227"/>
      <c r="F141" s="224"/>
      <c r="L141" s="227"/>
      <c r="M141" s="224"/>
      <c r="S141" s="227"/>
      <c r="T141" s="224"/>
    </row>
    <row r="142" spans="1:20" ht="12.75">
      <c r="A142" s="432" t="s">
        <v>13</v>
      </c>
      <c r="B142" s="432"/>
      <c r="C142" s="432"/>
      <c r="E142" s="226">
        <f>E131+E140</f>
        <v>610.89840000000004</v>
      </c>
      <c r="F142" s="225">
        <f>F131+F140</f>
        <v>610.86000000000001</v>
      </c>
      <c r="H142" s="432" t="s">
        <v>13</v>
      </c>
      <c r="I142" s="432"/>
      <c r="J142" s="432"/>
      <c r="L142" s="226">
        <f>L131+L140</f>
        <v>635.33433599999989</v>
      </c>
      <c r="M142" s="225">
        <f>M131+M140</f>
        <v>635.27800000000002</v>
      </c>
      <c r="O142" s="432" t="s">
        <v>13</v>
      </c>
      <c r="P142" s="432"/>
      <c r="Q142" s="432"/>
      <c r="S142" s="226">
        <f>S131+S140</f>
        <v>663.92438112000002</v>
      </c>
      <c r="T142" s="225">
        <f>T131+T140</f>
        <v>663.86655999999994</v>
      </c>
    </row>
  </sheetData>
  <sheetProtection/>
  <mergeCells count="264">
    <mergeCell ref="O80:Q80"/>
    <mergeCell ref="O81:Q81"/>
    <mergeCell ref="O73:Q73"/>
    <mergeCell ref="O74:Q74"/>
    <mergeCell ref="O76:Q76"/>
    <mergeCell ref="O77:Q77"/>
    <mergeCell ref="O72:Q72"/>
    <mergeCell ref="H83:J83"/>
    <mergeCell ref="O56:T56"/>
    <mergeCell ref="O57:Q57"/>
    <mergeCell ref="O58:Q58"/>
    <mergeCell ref="O59:Q59"/>
    <mergeCell ref="O61:Q61"/>
    <mergeCell ref="O83:Q83"/>
    <mergeCell ref="O78:Q78"/>
    <mergeCell ref="O79:Q79"/>
    <mergeCell ref="O62:Q62"/>
    <mergeCell ref="O63:Q63"/>
    <mergeCell ref="O64:Q64"/>
    <mergeCell ref="O65:Q65"/>
    <mergeCell ref="H78:J78"/>
    <mergeCell ref="H79:J79"/>
    <mergeCell ref="H65:J65"/>
    <mergeCell ref="O66:Q66"/>
    <mergeCell ref="O68:Q68"/>
    <mergeCell ref="O71:T71"/>
    <mergeCell ref="A58:C58"/>
    <mergeCell ref="H80:J80"/>
    <mergeCell ref="H81:J81"/>
    <mergeCell ref="H73:J73"/>
    <mergeCell ref="H74:J74"/>
    <mergeCell ref="H76:J76"/>
    <mergeCell ref="H77:J77"/>
    <mergeCell ref="A59:C59"/>
    <mergeCell ref="A72:C72"/>
    <mergeCell ref="A81:C81"/>
    <mergeCell ref="A6:H6"/>
    <mergeCell ref="H43:J43"/>
    <mergeCell ref="H71:M71"/>
    <mergeCell ref="H72:J72"/>
    <mergeCell ref="A42:C42"/>
    <mergeCell ref="A43:C43"/>
    <mergeCell ref="H56:M56"/>
    <mergeCell ref="H53:J53"/>
    <mergeCell ref="A56:F56"/>
    <mergeCell ref="A57:C57"/>
    <mergeCell ref="A34:C34"/>
    <mergeCell ref="A2:O3"/>
    <mergeCell ref="A36:C36"/>
    <mergeCell ref="A28:C28"/>
    <mergeCell ref="A29:C29"/>
    <mergeCell ref="A31:C31"/>
    <mergeCell ref="A27:C27"/>
    <mergeCell ref="H27:J27"/>
    <mergeCell ref="A32:C32"/>
    <mergeCell ref="A5:H5"/>
    <mergeCell ref="A7:H7"/>
    <mergeCell ref="H32:J32"/>
    <mergeCell ref="A16:H16"/>
    <mergeCell ref="A19:H19"/>
    <mergeCell ref="A11:H11"/>
    <mergeCell ref="H28:J28"/>
    <mergeCell ref="H31:J31"/>
    <mergeCell ref="A53:C53"/>
    <mergeCell ref="A17:H17"/>
    <mergeCell ref="A18:H18"/>
    <mergeCell ref="A26:F26"/>
    <mergeCell ref="H26:M26"/>
    <mergeCell ref="A23:I23"/>
    <mergeCell ref="A33:C33"/>
    <mergeCell ref="H36:J36"/>
    <mergeCell ref="H38:J38"/>
    <mergeCell ref="H29:J29"/>
    <mergeCell ref="H33:J33"/>
    <mergeCell ref="H34:J34"/>
    <mergeCell ref="H35:J35"/>
    <mergeCell ref="H49:J49"/>
    <mergeCell ref="A44:C44"/>
    <mergeCell ref="A38:C38"/>
    <mergeCell ref="H42:J42"/>
    <mergeCell ref="H44:J44"/>
    <mergeCell ref="A41:F41"/>
    <mergeCell ref="H41:M41"/>
    <mergeCell ref="A49:C49"/>
    <mergeCell ref="A50:C50"/>
    <mergeCell ref="A46:C46"/>
    <mergeCell ref="A47:C47"/>
    <mergeCell ref="A48:C48"/>
    <mergeCell ref="A35:C35"/>
    <mergeCell ref="H57:J57"/>
    <mergeCell ref="H58:J58"/>
    <mergeCell ref="H59:J59"/>
    <mergeCell ref="H46:J46"/>
    <mergeCell ref="H47:J47"/>
    <mergeCell ref="H48:J48"/>
    <mergeCell ref="H50:J50"/>
    <mergeCell ref="H51:J51"/>
    <mergeCell ref="A51:C51"/>
    <mergeCell ref="A61:C61"/>
    <mergeCell ref="A62:C62"/>
    <mergeCell ref="A63:C63"/>
    <mergeCell ref="A64:C64"/>
    <mergeCell ref="A76:C76"/>
    <mergeCell ref="A65:C65"/>
    <mergeCell ref="A66:C66"/>
    <mergeCell ref="A68:C68"/>
    <mergeCell ref="A71:F71"/>
    <mergeCell ref="A83:C83"/>
    <mergeCell ref="A77:C77"/>
    <mergeCell ref="A78:C78"/>
    <mergeCell ref="A79:C79"/>
    <mergeCell ref="A80:C80"/>
    <mergeCell ref="A73:C73"/>
    <mergeCell ref="A74:C74"/>
    <mergeCell ref="O26:T26"/>
    <mergeCell ref="O27:Q27"/>
    <mergeCell ref="O28:Q28"/>
    <mergeCell ref="O29:Q29"/>
    <mergeCell ref="O31:Q31"/>
    <mergeCell ref="O32:Q32"/>
    <mergeCell ref="O33:Q33"/>
    <mergeCell ref="O34:Q34"/>
    <mergeCell ref="O35:Q35"/>
    <mergeCell ref="O36:Q36"/>
    <mergeCell ref="O38:Q38"/>
    <mergeCell ref="O41:T41"/>
    <mergeCell ref="O42:Q42"/>
    <mergeCell ref="O43:Q43"/>
    <mergeCell ref="O44:Q44"/>
    <mergeCell ref="O46:Q46"/>
    <mergeCell ref="O47:Q47"/>
    <mergeCell ref="O48:Q48"/>
    <mergeCell ref="O49:Q49"/>
    <mergeCell ref="O50:Q50"/>
    <mergeCell ref="A87:C87"/>
    <mergeCell ref="A88:C88"/>
    <mergeCell ref="O51:Q51"/>
    <mergeCell ref="O53:Q53"/>
    <mergeCell ref="H61:J61"/>
    <mergeCell ref="H66:J66"/>
    <mergeCell ref="H68:J68"/>
    <mergeCell ref="H62:J62"/>
    <mergeCell ref="H63:J63"/>
    <mergeCell ref="H64:J64"/>
    <mergeCell ref="A20:H20"/>
    <mergeCell ref="A94:C94"/>
    <mergeCell ref="A95:C95"/>
    <mergeCell ref="A97:C97"/>
    <mergeCell ref="A90:C90"/>
    <mergeCell ref="A91:C91"/>
    <mergeCell ref="A92:C92"/>
    <mergeCell ref="A93:C93"/>
    <mergeCell ref="A85:F85"/>
    <mergeCell ref="A86:C86"/>
    <mergeCell ref="H85:M85"/>
    <mergeCell ref="H86:J86"/>
    <mergeCell ref="H87:J87"/>
    <mergeCell ref="H88:J88"/>
    <mergeCell ref="O92:Q92"/>
    <mergeCell ref="O93:Q93"/>
    <mergeCell ref="O94:Q94"/>
    <mergeCell ref="H90:J90"/>
    <mergeCell ref="H91:J91"/>
    <mergeCell ref="H92:J92"/>
    <mergeCell ref="H93:J93"/>
    <mergeCell ref="H94:J94"/>
    <mergeCell ref="O85:T85"/>
    <mergeCell ref="O86:Q86"/>
    <mergeCell ref="O87:Q87"/>
    <mergeCell ref="O88:Q88"/>
    <mergeCell ref="O90:Q90"/>
    <mergeCell ref="O91:Q91"/>
    <mergeCell ref="A109:C109"/>
    <mergeCell ref="O95:Q95"/>
    <mergeCell ref="O97:Q97"/>
    <mergeCell ref="A99:F99"/>
    <mergeCell ref="A100:C100"/>
    <mergeCell ref="A101:C101"/>
    <mergeCell ref="A102:C102"/>
    <mergeCell ref="H97:J97"/>
    <mergeCell ref="H95:J95"/>
    <mergeCell ref="H105:J105"/>
    <mergeCell ref="H106:J106"/>
    <mergeCell ref="H107:J107"/>
    <mergeCell ref="H108:J108"/>
    <mergeCell ref="A104:C104"/>
    <mergeCell ref="A105:C105"/>
    <mergeCell ref="A106:C106"/>
    <mergeCell ref="A107:C107"/>
    <mergeCell ref="A108:C108"/>
    <mergeCell ref="A121:C121"/>
    <mergeCell ref="A122:C122"/>
    <mergeCell ref="A123:C123"/>
    <mergeCell ref="H116:M116"/>
    <mergeCell ref="A111:C111"/>
    <mergeCell ref="H99:M99"/>
    <mergeCell ref="H100:J100"/>
    <mergeCell ref="H101:J101"/>
    <mergeCell ref="H102:J102"/>
    <mergeCell ref="H104:J104"/>
    <mergeCell ref="A124:C124"/>
    <mergeCell ref="A116:F116"/>
    <mergeCell ref="A117:C117"/>
    <mergeCell ref="A118:C118"/>
    <mergeCell ref="H109:J109"/>
    <mergeCell ref="H111:J111"/>
    <mergeCell ref="A119:C119"/>
    <mergeCell ref="H121:J121"/>
    <mergeCell ref="H122:J122"/>
    <mergeCell ref="H123:J123"/>
    <mergeCell ref="O123:Q123"/>
    <mergeCell ref="O124:Q124"/>
    <mergeCell ref="O125:Q125"/>
    <mergeCell ref="H117:J117"/>
    <mergeCell ref="H118:J118"/>
    <mergeCell ref="H119:J119"/>
    <mergeCell ref="H124:J124"/>
    <mergeCell ref="O116:T116"/>
    <mergeCell ref="O117:Q117"/>
    <mergeCell ref="O118:Q118"/>
    <mergeCell ref="O119:Q119"/>
    <mergeCell ref="O121:Q121"/>
    <mergeCell ref="O122:Q122"/>
    <mergeCell ref="O126:Q126"/>
    <mergeCell ref="O128:Q128"/>
    <mergeCell ref="A130:F130"/>
    <mergeCell ref="A125:C125"/>
    <mergeCell ref="A126:C126"/>
    <mergeCell ref="A128:C128"/>
    <mergeCell ref="H125:J125"/>
    <mergeCell ref="H126:J126"/>
    <mergeCell ref="H128:J128"/>
    <mergeCell ref="A131:C131"/>
    <mergeCell ref="A132:C132"/>
    <mergeCell ref="A133:C133"/>
    <mergeCell ref="A135:C135"/>
    <mergeCell ref="A136:C136"/>
    <mergeCell ref="A137:C137"/>
    <mergeCell ref="A138:C138"/>
    <mergeCell ref="A139:C139"/>
    <mergeCell ref="A140:C140"/>
    <mergeCell ref="A142:C142"/>
    <mergeCell ref="H130:M130"/>
    <mergeCell ref="H131:J131"/>
    <mergeCell ref="H132:J132"/>
    <mergeCell ref="H133:J133"/>
    <mergeCell ref="H135:J135"/>
    <mergeCell ref="H136:J136"/>
    <mergeCell ref="H137:J137"/>
    <mergeCell ref="H138:J138"/>
    <mergeCell ref="H139:J139"/>
    <mergeCell ref="H140:J140"/>
    <mergeCell ref="H142:J142"/>
    <mergeCell ref="O130:T130"/>
    <mergeCell ref="O131:Q131"/>
    <mergeCell ref="O132:Q132"/>
    <mergeCell ref="O133:Q133"/>
    <mergeCell ref="O135:Q135"/>
    <mergeCell ref="O136:Q136"/>
    <mergeCell ref="O137:Q137"/>
    <mergeCell ref="O138:Q138"/>
    <mergeCell ref="O139:Q139"/>
    <mergeCell ref="O140:Q140"/>
    <mergeCell ref="O142:Q142"/>
  </mergeCells>
  <pageMargins left="0.75" right="0.75" top="1" bottom="1" header="0.4921259845" footer="0.4921259845"/>
  <pageSetup orientation="landscape" paperSize="9" scale="67" r:id="rId1"/>
  <headerFooter alignWithMargins="0"/>
  <rowBreaks count="1" manualBreakCount="1">
    <brk id="53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J12"/>
  <sheetViews>
    <sheetView workbookViewId="0" topLeftCell="A1">
      <selection pane="topLeft" activeCell="I11" sqref="I11"/>
    </sheetView>
  </sheetViews>
  <sheetFormatPr defaultRowHeight="12.75"/>
  <sheetData>
    <row r="2" spans="1:1" ht="12.75">
      <c r="A2" s="1" t="s">
        <v>98</v>
      </c>
    </row>
    <row r="3" spans="1:1" ht="12.75">
      <c r="A3" t="s">
        <v>101</v>
      </c>
    </row>
    <row r="4" spans="1:2" ht="12.75">
      <c r="A4" s="103" t="s">
        <v>102</v>
      </c>
      <c r="B4" t="s">
        <v>100</v>
      </c>
    </row>
    <row r="5" spans="1:2" ht="12.75">
      <c r="A5" s="103" t="s">
        <v>103</v>
      </c>
      <c r="B5" t="s">
        <v>99</v>
      </c>
    </row>
    <row r="6" spans="1:1" ht="13.5" thickBot="1">
      <c r="A6" s="103"/>
    </row>
    <row r="7" spans="1:10" ht="13.5" thickBot="1">
      <c r="A7" s="451" t="s">
        <v>104</v>
      </c>
      <c r="B7" s="444">
        <v>2013</v>
      </c>
      <c r="C7" s="445"/>
      <c r="D7" s="445"/>
      <c r="E7" s="446">
        <v>2014</v>
      </c>
      <c r="F7" s="447"/>
      <c r="G7" s="448"/>
      <c r="H7" s="449">
        <v>2015</v>
      </c>
      <c r="I7" s="449"/>
      <c r="J7" s="450"/>
    </row>
    <row r="8" spans="1:10" ht="25.5" customHeight="1">
      <c r="A8" s="452"/>
      <c r="B8" s="141" t="s">
        <v>61</v>
      </c>
      <c r="C8" s="142" t="s">
        <v>107</v>
      </c>
      <c r="D8" s="143" t="s">
        <v>62</v>
      </c>
      <c r="E8" s="141" t="s">
        <v>61</v>
      </c>
      <c r="F8" s="142" t="s">
        <v>107</v>
      </c>
      <c r="G8" s="143" t="s">
        <v>62</v>
      </c>
      <c r="H8" s="141" t="s">
        <v>61</v>
      </c>
      <c r="I8" s="142" t="s">
        <v>107</v>
      </c>
      <c r="J8" s="143" t="s">
        <v>62</v>
      </c>
    </row>
    <row r="9" spans="1:10" ht="12.75">
      <c r="A9" s="126" t="s">
        <v>105</v>
      </c>
      <c r="B9" s="144">
        <v>13.20</v>
      </c>
      <c r="C9" s="35">
        <v>5711</v>
      </c>
      <c r="D9" s="140">
        <f>B9*C9</f>
        <v>75385.199999999997</v>
      </c>
      <c r="E9" s="144">
        <v>13.40</v>
      </c>
      <c r="F9" s="35">
        <v>5964</v>
      </c>
      <c r="G9" s="140">
        <f>E9*F9</f>
        <v>79917.600000000006</v>
      </c>
      <c r="H9" s="144">
        <v>13.5</v>
      </c>
      <c r="I9" s="35">
        <v>6055</v>
      </c>
      <c r="J9" s="140">
        <f>H9*I9</f>
        <v>81742.5</v>
      </c>
    </row>
    <row r="10" spans="1:10" ht="12.75">
      <c r="A10" s="126" t="s">
        <v>106</v>
      </c>
      <c r="B10" s="144">
        <v>10.25</v>
      </c>
      <c r="C10" s="35">
        <v>1954</v>
      </c>
      <c r="D10" s="140">
        <f>B10*C10</f>
        <v>20028.5</v>
      </c>
      <c r="E10" s="144">
        <v>10.30</v>
      </c>
      <c r="F10" s="35">
        <v>1935</v>
      </c>
      <c r="G10" s="140">
        <f>E10*F10</f>
        <v>19930.5</v>
      </c>
      <c r="H10" s="144">
        <v>10.40</v>
      </c>
      <c r="I10" s="35">
        <v>1942</v>
      </c>
      <c r="J10" s="140">
        <f>H10*I10</f>
        <v>20196.799999999999</v>
      </c>
    </row>
    <row r="11" spans="1:10" ht="13.5" thickBot="1">
      <c r="A11" s="92"/>
      <c r="B11" s="4"/>
      <c r="C11" s="38"/>
      <c r="D11" s="4"/>
      <c r="E11" s="82"/>
      <c r="F11" s="38"/>
      <c r="G11" s="83"/>
      <c r="H11" s="4"/>
      <c r="I11" s="38"/>
      <c r="J11" s="83"/>
    </row>
    <row r="12" spans="1:10" ht="13.5" thickBot="1">
      <c r="A12" s="120" t="s">
        <v>62</v>
      </c>
      <c r="B12" s="145"/>
      <c r="C12" s="146">
        <f>C9+C10</f>
        <v>7665</v>
      </c>
      <c r="D12" s="147">
        <f>D9+D10</f>
        <v>95413.699999999997</v>
      </c>
      <c r="E12" s="145"/>
      <c r="F12" s="146">
        <f>F9+F10</f>
        <v>7899</v>
      </c>
      <c r="G12" s="148">
        <f>G9+G10</f>
        <v>99848.100000000006</v>
      </c>
      <c r="H12" s="145"/>
      <c r="I12" s="146">
        <f>I9+I10</f>
        <v>7997</v>
      </c>
      <c r="J12" s="304">
        <f>J9+J10</f>
        <v>101939.3</v>
      </c>
    </row>
  </sheetData>
  <sheetProtection/>
  <mergeCells count="4">
    <mergeCell ref="B7:D7"/>
    <mergeCell ref="E7:G7"/>
    <mergeCell ref="H7:J7"/>
    <mergeCell ref="A7:A8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J12"/>
  <sheetViews>
    <sheetView workbookViewId="0" topLeftCell="A1">
      <selection pane="topLeft" activeCell="I11" sqref="I11"/>
    </sheetView>
  </sheetViews>
  <sheetFormatPr defaultRowHeight="12.75"/>
  <sheetData>
    <row r="2" spans="1:1" ht="12.75">
      <c r="A2" s="1" t="s">
        <v>108</v>
      </c>
    </row>
    <row r="3" spans="1:1" ht="12.75">
      <c r="A3" t="s">
        <v>109</v>
      </c>
    </row>
    <row r="4" spans="1:2" ht="12.75">
      <c r="A4" s="103" t="s">
        <v>102</v>
      </c>
      <c r="B4" t="s">
        <v>110</v>
      </c>
    </row>
    <row r="5" spans="1:2" ht="12.75">
      <c r="A5" s="103" t="s">
        <v>103</v>
      </c>
      <c r="B5" t="s">
        <v>111</v>
      </c>
    </row>
    <row r="6" ht="13.5" thickBot="1"/>
    <row r="7" spans="1:10" ht="13.5" thickBot="1">
      <c r="A7" s="451" t="s">
        <v>104</v>
      </c>
      <c r="B7" s="444">
        <v>2013</v>
      </c>
      <c r="C7" s="445"/>
      <c r="D7" s="445"/>
      <c r="E7" s="446">
        <v>2014</v>
      </c>
      <c r="F7" s="447"/>
      <c r="G7" s="448"/>
      <c r="H7" s="449">
        <v>2015</v>
      </c>
      <c r="I7" s="449"/>
      <c r="J7" s="450"/>
    </row>
    <row r="8" spans="1:10" ht="38.25">
      <c r="A8" s="452"/>
      <c r="B8" s="141" t="s">
        <v>61</v>
      </c>
      <c r="C8" s="142" t="s">
        <v>107</v>
      </c>
      <c r="D8" s="143" t="s">
        <v>62</v>
      </c>
      <c r="E8" s="141" t="s">
        <v>61</v>
      </c>
      <c r="F8" s="142" t="s">
        <v>107</v>
      </c>
      <c r="G8" s="143" t="s">
        <v>62</v>
      </c>
      <c r="H8" s="141" t="s">
        <v>61</v>
      </c>
      <c r="I8" s="142" t="s">
        <v>107</v>
      </c>
      <c r="J8" s="143" t="s">
        <v>62</v>
      </c>
    </row>
    <row r="9" spans="1:10" ht="12.75">
      <c r="A9" s="126" t="s">
        <v>105</v>
      </c>
      <c r="B9" s="107">
        <v>32.5</v>
      </c>
      <c r="C9" s="35">
        <v>3147</v>
      </c>
      <c r="D9" s="140">
        <f>B9*C9</f>
        <v>102277.5</v>
      </c>
      <c r="E9" s="107">
        <v>33</v>
      </c>
      <c r="F9" s="35">
        <v>3184</v>
      </c>
      <c r="G9" s="140">
        <f>E9*F9</f>
        <v>105072</v>
      </c>
      <c r="H9" s="107">
        <v>33.5</v>
      </c>
      <c r="I9" s="35">
        <v>3251</v>
      </c>
      <c r="J9" s="140">
        <f>H9*I9</f>
        <v>108908.5</v>
      </c>
    </row>
    <row r="10" spans="1:10" ht="12.75">
      <c r="A10" s="126" t="s">
        <v>106</v>
      </c>
      <c r="B10" s="107">
        <v>14.5</v>
      </c>
      <c r="C10" s="35">
        <v>32</v>
      </c>
      <c r="D10" s="140">
        <f>B10*C10</f>
        <v>464</v>
      </c>
      <c r="E10" s="107">
        <v>15</v>
      </c>
      <c r="F10" s="35">
        <v>35</v>
      </c>
      <c r="G10" s="140">
        <f>E10*F10</f>
        <v>525</v>
      </c>
      <c r="H10" s="107">
        <v>15.5</v>
      </c>
      <c r="I10" s="35">
        <v>40</v>
      </c>
      <c r="J10" s="140">
        <f>H10*I10</f>
        <v>620</v>
      </c>
    </row>
    <row r="11" spans="1:10" ht="13.5" thickBot="1">
      <c r="A11" s="92"/>
      <c r="B11" s="4"/>
      <c r="C11" s="38"/>
      <c r="D11" s="4"/>
      <c r="E11" s="82"/>
      <c r="F11" s="38"/>
      <c r="G11" s="83"/>
      <c r="H11" s="4"/>
      <c r="I11" s="38"/>
      <c r="J11" s="83"/>
    </row>
    <row r="12" spans="1:10" ht="13.5" thickBot="1">
      <c r="A12" s="120" t="s">
        <v>62</v>
      </c>
      <c r="B12" s="145"/>
      <c r="C12" s="146">
        <f>C9+C10</f>
        <v>3179</v>
      </c>
      <c r="D12" s="147">
        <f>D9+D10</f>
        <v>102741.5</v>
      </c>
      <c r="E12" s="145"/>
      <c r="F12" s="146">
        <f>F9+F10</f>
        <v>3219</v>
      </c>
      <c r="G12" s="148">
        <f>G9+G10</f>
        <v>105597</v>
      </c>
      <c r="H12" s="145"/>
      <c r="I12" s="146">
        <f>I9+I10</f>
        <v>3291</v>
      </c>
      <c r="J12" s="304">
        <f>J9+J10</f>
        <v>109528.5</v>
      </c>
    </row>
  </sheetData>
  <sheetProtection/>
  <mergeCells count="4">
    <mergeCell ref="A7:A8"/>
    <mergeCell ref="B7:D7"/>
    <mergeCell ref="E7:G7"/>
    <mergeCell ref="H7:J7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J23"/>
  <sheetViews>
    <sheetView workbookViewId="0" topLeftCell="A1">
      <selection pane="topLeft" activeCell="F27" sqref="F27"/>
    </sheetView>
  </sheetViews>
  <sheetFormatPr defaultRowHeight="12.75"/>
  <cols>
    <col min="1" max="1" width="4" customWidth="1"/>
    <col min="2" max="2" width="13.7142857142857" customWidth="1"/>
    <col min="3" max="3" width="14.7142857142857" customWidth="1"/>
    <col min="4" max="4" width="14.2857142857143" customWidth="1"/>
    <col min="5" max="5" width="13.7142857142857" customWidth="1"/>
    <col min="6" max="6" width="14.7142857142857" customWidth="1"/>
    <col min="7" max="8" width="13.7142857142857" customWidth="1"/>
    <col min="9" max="9" width="14.7142857142857" customWidth="1"/>
    <col min="10" max="10" width="13.7142857142857" customWidth="1"/>
  </cols>
  <sheetData>
    <row r="2" spans="1:2" ht="12.75">
      <c r="A2" s="1" t="s">
        <v>58</v>
      </c>
      <c r="B2" s="1"/>
    </row>
    <row r="4" spans="2:6" ht="12.75">
      <c r="B4" s="457" t="s">
        <v>212</v>
      </c>
      <c r="C4" s="457"/>
      <c r="D4" s="457"/>
      <c r="E4" s="457"/>
      <c r="F4" s="50">
        <v>800</v>
      </c>
    </row>
    <row r="5" spans="2:6" ht="12.75">
      <c r="B5" s="31" t="s">
        <v>95</v>
      </c>
      <c r="C5" s="31"/>
      <c r="D5" s="31"/>
      <c r="E5" s="31"/>
      <c r="F5" s="50"/>
    </row>
    <row r="6" spans="2:7" ht="13.5" thickBot="1">
      <c r="B6" s="71"/>
      <c r="C6" s="71"/>
      <c r="D6" s="71"/>
      <c r="E6" s="458"/>
      <c r="F6" s="458"/>
      <c r="G6" s="4"/>
    </row>
    <row r="7" spans="1:10" ht="13.5" thickBot="1">
      <c r="A7" s="99"/>
      <c r="B7" s="459">
        <v>2013</v>
      </c>
      <c r="C7" s="459"/>
      <c r="D7" s="459"/>
      <c r="E7" s="460">
        <v>2014</v>
      </c>
      <c r="F7" s="460"/>
      <c r="G7" s="460"/>
      <c r="H7" s="453">
        <v>2015</v>
      </c>
      <c r="I7" s="453"/>
      <c r="J7" s="453"/>
    </row>
    <row r="8" spans="1:10" ht="26.25" thickBot="1">
      <c r="A8" s="66"/>
      <c r="B8" s="132" t="s">
        <v>61</v>
      </c>
      <c r="C8" s="133" t="s">
        <v>92</v>
      </c>
      <c r="D8" s="130" t="s">
        <v>94</v>
      </c>
      <c r="E8" s="134" t="s">
        <v>61</v>
      </c>
      <c r="F8" s="135" t="s">
        <v>92</v>
      </c>
      <c r="G8" s="130" t="s">
        <v>94</v>
      </c>
      <c r="H8" s="134" t="s">
        <v>61</v>
      </c>
      <c r="I8" s="135" t="s">
        <v>92</v>
      </c>
      <c r="J8" s="131" t="s">
        <v>94</v>
      </c>
    </row>
    <row r="9" spans="1:10" ht="12.75">
      <c r="A9" s="454" t="s">
        <v>59</v>
      </c>
      <c r="B9" s="441"/>
      <c r="C9" s="441"/>
      <c r="D9" s="441"/>
      <c r="E9" s="441"/>
      <c r="F9" s="441"/>
      <c r="G9" s="4"/>
      <c r="H9" s="4"/>
      <c r="I9" s="4"/>
      <c r="J9" s="83"/>
    </row>
    <row r="10" spans="1:10" ht="12.75">
      <c r="A10" s="455" t="s">
        <v>60</v>
      </c>
      <c r="B10" s="456"/>
      <c r="C10" s="456"/>
      <c r="D10" s="456"/>
      <c r="E10" s="456"/>
      <c r="F10" s="456"/>
      <c r="G10" s="70"/>
      <c r="H10" s="70"/>
      <c r="I10" s="70"/>
      <c r="J10" s="114"/>
    </row>
    <row r="11" spans="1:10" ht="13.5" thickBot="1">
      <c r="A11" s="74"/>
      <c r="B11" s="121">
        <f>F4</f>
        <v>800</v>
      </c>
      <c r="C11" s="90">
        <v>9000</v>
      </c>
      <c r="D11" s="122">
        <f>C11*B11</f>
        <v>7200000</v>
      </c>
      <c r="E11" s="121">
        <f>(B11*0.045)+B11</f>
        <v>836</v>
      </c>
      <c r="F11" s="90">
        <v>9350</v>
      </c>
      <c r="G11" s="123">
        <f>F11*E11</f>
        <v>7816600</v>
      </c>
      <c r="H11" s="121">
        <f>(E11*0.045)+E11</f>
        <v>873.62</v>
      </c>
      <c r="I11" s="90">
        <v>9425</v>
      </c>
      <c r="J11" s="123">
        <f>I11*H11</f>
        <v>8233868.5</v>
      </c>
    </row>
    <row r="12" spans="1:10" ht="12.75">
      <c r="A12" s="82" t="s">
        <v>213</v>
      </c>
      <c r="B12" s="4"/>
      <c r="C12" s="4"/>
      <c r="D12" s="4"/>
      <c r="E12" s="4"/>
      <c r="F12" s="4"/>
      <c r="G12" s="4"/>
      <c r="H12" s="4"/>
      <c r="I12" s="4"/>
      <c r="J12" s="83"/>
    </row>
    <row r="13" spans="1:10" ht="12.75">
      <c r="A13" s="72" t="s">
        <v>214</v>
      </c>
      <c r="B13" s="70"/>
      <c r="C13" s="70"/>
      <c r="D13" s="70"/>
      <c r="E13" s="70"/>
      <c r="F13" s="70"/>
      <c r="G13" s="70"/>
      <c r="H13" s="70"/>
      <c r="I13" s="70"/>
      <c r="J13" s="114"/>
    </row>
    <row r="14" spans="1:10" ht="13.5" thickBot="1">
      <c r="A14" s="74"/>
      <c r="B14" s="102">
        <v>450</v>
      </c>
      <c r="C14" s="90">
        <v>2569</v>
      </c>
      <c r="D14" s="77">
        <f>C14*B14</f>
        <v>1156050</v>
      </c>
      <c r="E14" s="102">
        <v>500</v>
      </c>
      <c r="F14" s="90">
        <v>2581</v>
      </c>
      <c r="G14" s="77">
        <f>F14*E14</f>
        <v>1290500</v>
      </c>
      <c r="H14" s="124">
        <v>550</v>
      </c>
      <c r="I14" s="125">
        <v>2608</v>
      </c>
      <c r="J14" s="77">
        <f>I14*H14</f>
        <v>1434400</v>
      </c>
    </row>
    <row r="15" spans="1:10" ht="13.5" thickBot="1">
      <c r="A15" s="82"/>
      <c r="B15" s="71"/>
      <c r="C15" s="71"/>
      <c r="D15" s="118"/>
      <c r="E15" s="118"/>
      <c r="F15" s="118"/>
      <c r="G15" s="4"/>
      <c r="H15" s="4"/>
      <c r="I15" s="4"/>
      <c r="J15" s="83"/>
    </row>
    <row r="16" spans="1:10" ht="13.5" thickBot="1">
      <c r="A16" s="120" t="s">
        <v>93</v>
      </c>
      <c r="B16" s="119"/>
      <c r="C16" s="112">
        <f>C11+C14</f>
        <v>11569</v>
      </c>
      <c r="D16" s="129">
        <f>D11+D14</f>
        <v>8356050</v>
      </c>
      <c r="E16" s="120"/>
      <c r="F16" s="112">
        <f>F11+F14</f>
        <v>11931</v>
      </c>
      <c r="G16" s="128">
        <f>G11+G14</f>
        <v>9107100</v>
      </c>
      <c r="H16" s="120"/>
      <c r="I16" s="112">
        <f>I11+I14</f>
        <v>12033</v>
      </c>
      <c r="J16" s="305">
        <f>J11+J14</f>
        <v>9668268.5</v>
      </c>
    </row>
    <row r="17" spans="2:7" ht="12.75">
      <c r="B17" s="4"/>
      <c r="C17" s="4"/>
      <c r="D17" s="4"/>
      <c r="E17" s="4"/>
      <c r="F17" s="4"/>
      <c r="G17" s="4"/>
    </row>
    <row r="19" spans="1:1" ht="12.75">
      <c r="A19" s="1" t="s">
        <v>224</v>
      </c>
    </row>
    <row r="20" ht="13.5" thickBot="1"/>
    <row r="21" spans="2:10" ht="13.5" thickBot="1">
      <c r="B21" s="459">
        <v>2013</v>
      </c>
      <c r="C21" s="459"/>
      <c r="D21" s="459"/>
      <c r="E21" s="460">
        <v>2014</v>
      </c>
      <c r="F21" s="460"/>
      <c r="G21" s="460"/>
      <c r="H21" s="453">
        <v>2015</v>
      </c>
      <c r="I21" s="453"/>
      <c r="J21" s="453"/>
    </row>
    <row r="22" spans="2:10" ht="33" customHeight="1" thickBot="1">
      <c r="B22" s="159" t="s">
        <v>225</v>
      </c>
      <c r="C22" s="160" t="s">
        <v>226</v>
      </c>
      <c r="D22" s="382" t="s">
        <v>94</v>
      </c>
      <c r="E22" s="159" t="s">
        <v>225</v>
      </c>
      <c r="F22" s="160" t="s">
        <v>226</v>
      </c>
      <c r="G22" s="382" t="s">
        <v>94</v>
      </c>
      <c r="H22" s="159" t="s">
        <v>225</v>
      </c>
      <c r="I22" s="160" t="s">
        <v>226</v>
      </c>
      <c r="J22" s="383" t="s">
        <v>94</v>
      </c>
    </row>
    <row r="23" spans="2:10" ht="13.5" thickBot="1">
      <c r="B23" s="385">
        <v>861</v>
      </c>
      <c r="C23" s="386">
        <v>1636</v>
      </c>
      <c r="D23" s="384">
        <f>B23*C23</f>
        <v>1408596</v>
      </c>
      <c r="E23" s="385">
        <v>816</v>
      </c>
      <c r="F23" s="386">
        <v>2536</v>
      </c>
      <c r="G23" s="384">
        <f>E23*F23</f>
        <v>2069376</v>
      </c>
      <c r="H23" s="385">
        <v>800</v>
      </c>
      <c r="I23" s="386">
        <v>2620</v>
      </c>
      <c r="J23" s="384">
        <f>H23*I23</f>
        <v>2096000</v>
      </c>
    </row>
  </sheetData>
  <sheetProtection/>
  <mergeCells count="10">
    <mergeCell ref="H21:J21"/>
    <mergeCell ref="H7:J7"/>
    <mergeCell ref="A9:F9"/>
    <mergeCell ref="A10:F10"/>
    <mergeCell ref="B4:E4"/>
    <mergeCell ref="E6:F6"/>
    <mergeCell ref="B7:D7"/>
    <mergeCell ref="E7:G7"/>
    <mergeCell ref="B21:D21"/>
    <mergeCell ref="E21:G21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F38"/>
  <sheetViews>
    <sheetView workbookViewId="0" topLeftCell="A1">
      <selection pane="topLeft" activeCell="G18" sqref="G18"/>
    </sheetView>
  </sheetViews>
  <sheetFormatPr defaultRowHeight="12.75"/>
  <cols>
    <col min="1" max="2" width="11.7142857142857" customWidth="1"/>
    <col min="3" max="5" width="15.7142857142857" customWidth="1"/>
    <col min="6" max="6" width="11.8571428571429" customWidth="1"/>
    <col min="7" max="9" width="15.7142857142857" customWidth="1"/>
  </cols>
  <sheetData>
    <row r="1" spans="1:1" ht="12.75">
      <c r="A1" s="1" t="s">
        <v>96</v>
      </c>
    </row>
    <row r="2" spans="1:1" ht="12.75">
      <c r="A2" s="1"/>
    </row>
    <row r="3" spans="1:5" ht="12.75">
      <c r="A3" s="69" t="s">
        <v>180</v>
      </c>
      <c r="B3" s="3">
        <v>2012</v>
      </c>
      <c r="C3" s="3">
        <v>2013</v>
      </c>
      <c r="D3" s="3">
        <v>2014</v>
      </c>
      <c r="E3" s="3">
        <v>2015</v>
      </c>
    </row>
    <row r="4" spans="1:5" ht="12.75">
      <c r="A4" s="194" t="s">
        <v>171</v>
      </c>
      <c r="B4" s="8">
        <f>'zakladné ukazovatele'!J6</f>
        <v>765</v>
      </c>
      <c r="C4" s="8">
        <f>'zakladné ukazovatele'!J7</f>
        <v>782</v>
      </c>
      <c r="D4" s="8">
        <f>'zakladné ukazovatele'!J8</f>
        <v>813.27999999999997</v>
      </c>
      <c r="E4" s="8">
        <f>'zakladné ukazovatele'!J9</f>
        <v>849.87760000000003</v>
      </c>
    </row>
    <row r="5" spans="1:5" ht="12.75">
      <c r="A5" s="194" t="s">
        <v>179</v>
      </c>
      <c r="B5" s="8">
        <f>'zakladné ukazovatele'!F68</f>
        <v>1034.27</v>
      </c>
      <c r="C5" s="8">
        <f>'zakladné ukazovatele'!M68</f>
        <v>1057.24</v>
      </c>
      <c r="D5" s="8">
        <f>'zakladné ukazovatele'!F83</f>
        <v>1099.51</v>
      </c>
      <c r="E5" s="8">
        <f>'zakladné ukazovatele'!M97</f>
        <v>1148.9776000000002</v>
      </c>
    </row>
    <row r="6" spans="1:5" ht="13.5" thickBot="1">
      <c r="A6" s="71"/>
      <c r="B6" s="211"/>
      <c r="C6" s="211"/>
      <c r="D6" s="211"/>
      <c r="E6" s="211"/>
    </row>
    <row r="7" spans="1:5" ht="13.5" thickBot="1">
      <c r="A7" s="66" t="s">
        <v>166</v>
      </c>
      <c r="B7" s="67"/>
      <c r="C7" s="229">
        <v>2013</v>
      </c>
      <c r="D7" s="127">
        <v>2014</v>
      </c>
      <c r="E7" s="234">
        <v>2015</v>
      </c>
    </row>
    <row r="8" spans="1:5" ht="12.75">
      <c r="A8" s="73" t="s">
        <v>178</v>
      </c>
      <c r="B8" s="4"/>
      <c r="C8" s="235"/>
      <c r="D8" s="235"/>
      <c r="E8" s="235"/>
    </row>
    <row r="9" spans="1:5" ht="12.75">
      <c r="A9" s="82" t="s">
        <v>182</v>
      </c>
      <c r="B9" s="4"/>
      <c r="C9" s="219">
        <f>2.5*C5</f>
        <v>2643.0999999999999</v>
      </c>
      <c r="D9" s="219">
        <f>2.5*D5</f>
        <v>2748.7750000000001</v>
      </c>
      <c r="E9" s="219">
        <f>2.5*E5</f>
        <v>2872.4440000000004</v>
      </c>
    </row>
    <row r="10" spans="1:5" ht="12.75">
      <c r="A10" s="390" t="s">
        <v>46</v>
      </c>
      <c r="B10" s="391"/>
      <c r="C10" s="91"/>
      <c r="D10" s="91"/>
      <c r="E10" s="92"/>
    </row>
    <row r="11" spans="1:5" ht="12.75">
      <c r="A11" s="72" t="s">
        <v>183</v>
      </c>
      <c r="B11" s="70"/>
      <c r="C11" s="219">
        <f>3*C5</f>
        <v>3171.7200000000003</v>
      </c>
      <c r="D11" s="219">
        <f>3*D5</f>
        <v>3298.5299999999997</v>
      </c>
      <c r="E11" s="219">
        <f>3*E5</f>
        <v>3446.9328000000005</v>
      </c>
    </row>
    <row r="12" spans="1:5" ht="12.75">
      <c r="A12" s="73" t="s">
        <v>47</v>
      </c>
      <c r="B12" s="71"/>
      <c r="C12" s="212"/>
      <c r="D12" s="212"/>
      <c r="E12" s="210"/>
    </row>
    <row r="13" spans="1:5" ht="13.5" thickBot="1">
      <c r="A13" s="74" t="s">
        <v>184</v>
      </c>
      <c r="B13" s="381"/>
      <c r="C13" s="223">
        <f>4*C5</f>
        <v>4228.96</v>
      </c>
      <c r="D13" s="223">
        <f>4*D5</f>
        <v>4398.04</v>
      </c>
      <c r="E13" s="210">
        <f>4*E5</f>
        <v>4595.9104000000007</v>
      </c>
    </row>
    <row r="14" spans="1:5" ht="13.5" thickBot="1">
      <c r="A14" s="82"/>
      <c r="B14" s="4"/>
      <c r="C14" s="210"/>
      <c r="D14" s="210"/>
      <c r="E14" s="206"/>
    </row>
    <row r="15" spans="1:5" ht="27" customHeight="1" thickBot="1">
      <c r="A15" s="465" t="s">
        <v>185</v>
      </c>
      <c r="B15" s="466"/>
      <c r="C15" s="206">
        <f>AVERAGE(C10:C13)</f>
        <v>3700.3400000000001</v>
      </c>
      <c r="D15" s="206">
        <f>AVERAGE(D10:D13)</f>
        <v>3848.2849999999999</v>
      </c>
      <c r="E15" s="210">
        <f>AVERAGE(E11:E13)</f>
        <v>4021.4216000000006</v>
      </c>
    </row>
    <row r="16" spans="1:5" ht="26.25" customHeight="1" thickBot="1">
      <c r="A16" s="465" t="s">
        <v>186</v>
      </c>
      <c r="B16" s="466"/>
      <c r="C16" s="206">
        <f>C15-(C15*0.1)</f>
        <v>3330.306</v>
      </c>
      <c r="D16" s="206">
        <f>D15-(D15*0.1)</f>
        <v>3463.4564999999998</v>
      </c>
      <c r="E16" s="206">
        <f>E15-(E15*0.1)</f>
        <v>3619.2794400000002</v>
      </c>
    </row>
    <row r="17" spans="1:5" ht="12.75" customHeight="1">
      <c r="A17" s="379" t="s">
        <v>82</v>
      </c>
      <c r="B17" s="389"/>
      <c r="C17" s="93"/>
      <c r="D17" s="93"/>
      <c r="E17" s="92"/>
    </row>
    <row r="18" spans="1:5" ht="13.5" thickBot="1">
      <c r="A18" s="380"/>
      <c r="B18" s="388"/>
      <c r="C18" s="94">
        <v>9723</v>
      </c>
      <c r="D18" s="94">
        <v>9472</v>
      </c>
      <c r="E18" s="198">
        <v>9056</v>
      </c>
    </row>
    <row r="19" spans="1:5" ht="13.5" thickBot="1">
      <c r="A19" s="82"/>
      <c r="B19" s="4"/>
      <c r="C19" s="92"/>
      <c r="D19" s="92"/>
      <c r="E19" s="99"/>
    </row>
    <row r="20" spans="1:5" ht="12.75" customHeight="1">
      <c r="A20" s="461" t="s">
        <v>168</v>
      </c>
      <c r="B20" s="462"/>
      <c r="C20" s="244"/>
      <c r="D20" s="136"/>
      <c r="E20" s="250"/>
    </row>
    <row r="21" spans="1:5" ht="13.5" thickBot="1">
      <c r="A21" s="463"/>
      <c r="B21" s="464"/>
      <c r="C21" s="213">
        <f>C18*C16</f>
        <v>32380565.238000002</v>
      </c>
      <c r="D21" s="214">
        <f>D18*D16</f>
        <v>32805859.967999998</v>
      </c>
      <c r="E21" s="251">
        <f>E18*E16</f>
        <v>32776194.608640004</v>
      </c>
    </row>
    <row r="22" spans="1:3" ht="12.75">
      <c r="A22" s="28"/>
      <c r="B22" s="28"/>
      <c r="C22" s="28"/>
    </row>
    <row r="23" spans="5:6" ht="12.75">
      <c r="E23" s="4"/>
      <c r="F23" s="175"/>
    </row>
    <row r="24" spans="5:6" ht="12.75">
      <c r="E24" s="4"/>
      <c r="F24" s="175"/>
    </row>
    <row r="25" spans="5:6" ht="12.75">
      <c r="E25" s="4"/>
      <c r="F25" s="239"/>
    </row>
    <row r="26" spans="5:6" ht="12.75">
      <c r="E26" s="4"/>
      <c r="F26" s="28"/>
    </row>
    <row r="27" spans="5:6" ht="12.75">
      <c r="E27" s="4"/>
      <c r="F27" s="239"/>
    </row>
    <row r="28" spans="5:6" ht="12.75">
      <c r="E28" s="4"/>
      <c r="F28" s="239"/>
    </row>
    <row r="29" spans="5:6" ht="12.75">
      <c r="E29" s="4"/>
      <c r="F29" s="239"/>
    </row>
    <row r="30" spans="5:6" ht="12.75">
      <c r="E30" s="4"/>
      <c r="F30" s="239"/>
    </row>
    <row r="31" spans="5:6" ht="12.75">
      <c r="E31" s="4"/>
      <c r="F31" s="239"/>
    </row>
    <row r="32" spans="5:6" ht="12.75">
      <c r="E32" s="4"/>
      <c r="F32" s="28"/>
    </row>
    <row r="33" spans="5:6" ht="12.75">
      <c r="E33" s="4"/>
      <c r="F33" s="28"/>
    </row>
    <row r="34" spans="5:6" ht="12.75">
      <c r="E34" s="4"/>
      <c r="F34" s="237"/>
    </row>
    <row r="35" spans="5:6" ht="12.75">
      <c r="E35" s="4"/>
      <c r="F35" s="28"/>
    </row>
    <row r="36" spans="5:6" ht="12.75">
      <c r="E36" s="4"/>
      <c r="F36" s="28"/>
    </row>
    <row r="37" spans="5:6" ht="12.75">
      <c r="E37" s="4"/>
      <c r="F37" s="240"/>
    </row>
    <row r="38" spans="6:6" ht="12.75">
      <c r="F38" s="172"/>
    </row>
  </sheetData>
  <sheetProtection/>
  <mergeCells count="3">
    <mergeCell ref="A20:B21"/>
    <mergeCell ref="A15:B15"/>
    <mergeCell ref="A16:B16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H47"/>
  <sheetViews>
    <sheetView workbookViewId="0" topLeftCell="A4">
      <selection pane="topLeft" activeCell="I36" sqref="I35:I36"/>
    </sheetView>
  </sheetViews>
  <sheetFormatPr defaultRowHeight="12.75"/>
  <cols>
    <col min="1" max="1" width="11.2857142857143" customWidth="1"/>
    <col min="2" max="2" width="10.8571428571429" customWidth="1"/>
    <col min="3" max="4" width="10.2857142857143" customWidth="1"/>
    <col min="5" max="5" width="9.85714285714286" customWidth="1"/>
    <col min="6" max="6" width="11.2857142857143" customWidth="1"/>
    <col min="8" max="8" width="14.4285714285714" customWidth="1"/>
    <col min="9" max="9" width="15.5714285714286" customWidth="1"/>
    <col min="10" max="12" width="11.2857142857143" customWidth="1"/>
    <col min="13" max="14" width="10.2857142857143" customWidth="1"/>
    <col min="15" max="17" width="11.2857142857143" customWidth="1"/>
  </cols>
  <sheetData>
    <row r="1" spans="1:1" ht="12.75">
      <c r="A1" s="1" t="s">
        <v>136</v>
      </c>
    </row>
    <row r="2" spans="1:1" ht="12.75">
      <c r="A2" s="31"/>
    </row>
    <row r="3" spans="1:5" ht="12.75">
      <c r="A3" s="32" t="s">
        <v>180</v>
      </c>
      <c r="B3" s="3">
        <v>2012</v>
      </c>
      <c r="C3" s="3">
        <v>2013</v>
      </c>
      <c r="D3" s="3">
        <v>2014</v>
      </c>
      <c r="E3" s="18">
        <v>2015</v>
      </c>
    </row>
    <row r="4" spans="1:5" ht="12.75">
      <c r="A4" s="3" t="s">
        <v>31</v>
      </c>
      <c r="B4" s="26">
        <f>'zakladné ukazovatele'!M53</f>
        <v>442.34000000000003</v>
      </c>
      <c r="C4" s="26">
        <f>'zakladné ukazovatele'!T38</f>
        <v>456.53999999999996</v>
      </c>
      <c r="D4" s="26">
        <f>'zakladné ukazovatele'!T53</f>
        <v>470.22099999999995</v>
      </c>
      <c r="E4" s="8">
        <f>'zakladné ukazovatele'!T97</f>
        <v>484.32592999999997</v>
      </c>
    </row>
    <row r="5" spans="1:5" ht="12.75">
      <c r="A5" s="3" t="s">
        <v>32</v>
      </c>
      <c r="B5" s="26">
        <f>'zakladné ukazovatele'!F68</f>
        <v>1034.27</v>
      </c>
      <c r="C5" s="26">
        <f>'zakladné ukazovatele'!M68</f>
        <v>1057.24</v>
      </c>
      <c r="D5" s="26">
        <f>'zakladné ukazovatele'!F83</f>
        <v>1099.51</v>
      </c>
      <c r="E5" s="8">
        <f>'zakladné ukazovatele'!M97</f>
        <v>1148.9776000000002</v>
      </c>
    </row>
    <row r="6" spans="1:8" ht="13.5" thickBot="1">
      <c r="A6" s="253"/>
      <c r="B6" s="253"/>
      <c r="C6" s="4"/>
      <c r="D6" s="4"/>
      <c r="E6" s="33"/>
      <c r="F6" s="4"/>
      <c r="G6" s="203"/>
      <c r="H6" s="170"/>
    </row>
    <row r="7" spans="1:8" ht="13.5" thickBot="1">
      <c r="A7" s="55"/>
      <c r="B7" s="104"/>
      <c r="C7" s="498">
        <v>2013</v>
      </c>
      <c r="D7" s="498"/>
      <c r="E7" s="498"/>
      <c r="F7" s="498"/>
      <c r="G7" s="498"/>
      <c r="H7" s="499"/>
    </row>
    <row r="8" spans="1:8" ht="12.75">
      <c r="A8" s="82"/>
      <c r="B8" s="83"/>
      <c r="C8" s="484" t="s">
        <v>112</v>
      </c>
      <c r="D8" s="486" t="s">
        <v>141</v>
      </c>
      <c r="E8" s="486" t="s">
        <v>87</v>
      </c>
      <c r="F8" s="494" t="s">
        <v>88</v>
      </c>
      <c r="G8" s="490" t="s">
        <v>89</v>
      </c>
      <c r="H8" s="492" t="s">
        <v>90</v>
      </c>
    </row>
    <row r="9" spans="1:8" ht="13.5" thickBot="1">
      <c r="A9" s="74"/>
      <c r="B9" s="88"/>
      <c r="C9" s="485"/>
      <c r="D9" s="487"/>
      <c r="E9" s="487"/>
      <c r="F9" s="495"/>
      <c r="G9" s="491"/>
      <c r="H9" s="493"/>
    </row>
    <row r="10" spans="1:8" ht="12.75">
      <c r="A10" s="482" t="s">
        <v>178</v>
      </c>
      <c r="B10" s="483"/>
      <c r="C10" s="167"/>
      <c r="D10" s="142"/>
      <c r="E10" s="142"/>
      <c r="F10" s="143"/>
      <c r="G10" s="232"/>
      <c r="H10" s="231"/>
    </row>
    <row r="11" spans="1:8" ht="13.5" thickBot="1">
      <c r="A11" s="74" t="s">
        <v>187</v>
      </c>
      <c r="B11" s="88"/>
      <c r="C11" s="247">
        <f>C4*0.25</f>
        <v>114.13499999999999</v>
      </c>
      <c r="D11" s="248">
        <f>C5*0.25</f>
        <v>264.31</v>
      </c>
      <c r="E11" s="248">
        <f>AVERAGE(C11:D11)</f>
        <v>189.2225</v>
      </c>
      <c r="F11" s="249">
        <f>E11*12</f>
        <v>2270.6700000000001</v>
      </c>
      <c r="G11" s="245">
        <v>964</v>
      </c>
      <c r="H11" s="249">
        <f>F11*G11</f>
        <v>2188925.8799999999</v>
      </c>
    </row>
    <row r="12" spans="1:8" ht="12.75" customHeight="1">
      <c r="A12" s="467" t="s">
        <v>189</v>
      </c>
      <c r="B12" s="468"/>
      <c r="C12" s="101"/>
      <c r="D12" s="89"/>
      <c r="E12" s="89"/>
      <c r="F12" s="115"/>
      <c r="G12" s="105"/>
      <c r="H12" s="104"/>
    </row>
    <row r="13" spans="1:8" ht="13.5" thickBot="1">
      <c r="A13" s="469" t="s">
        <v>188</v>
      </c>
      <c r="B13" s="470"/>
      <c r="C13" s="113">
        <f>C4*0.3</f>
        <v>136.96199999999999</v>
      </c>
      <c r="D13" s="46">
        <f>C5*0.3</f>
        <v>317.17199999999997</v>
      </c>
      <c r="E13" s="46">
        <f>AVERAGE(C13:D13)</f>
        <v>227.06699999999998</v>
      </c>
      <c r="F13" s="233">
        <f>E13*12</f>
        <v>2724.8039999999996</v>
      </c>
      <c r="G13" s="109">
        <v>2647</v>
      </c>
      <c r="H13" s="233">
        <f>F13*G13</f>
        <v>7212556.1879999992</v>
      </c>
    </row>
    <row r="14" spans="1:8" ht="12.75" customHeight="1">
      <c r="A14" s="467" t="s">
        <v>47</v>
      </c>
      <c r="B14" s="468"/>
      <c r="C14" s="101"/>
      <c r="D14" s="89"/>
      <c r="E14" s="89"/>
      <c r="F14" s="115"/>
      <c r="G14" s="105"/>
      <c r="H14" s="104"/>
    </row>
    <row r="15" spans="1:8" ht="13.5" thickBot="1">
      <c r="A15" s="469" t="s">
        <v>190</v>
      </c>
      <c r="B15" s="470"/>
      <c r="C15" s="113">
        <f>C4*0.4</f>
        <v>182.61599999999999</v>
      </c>
      <c r="D15" s="46">
        <f>C5*0.4</f>
        <v>422.89600000000002</v>
      </c>
      <c r="E15" s="46">
        <f>AVERAGE(C15:D15)</f>
        <v>302.75599999999997</v>
      </c>
      <c r="F15" s="233">
        <f>E15*12</f>
        <v>3633.0719999999997</v>
      </c>
      <c r="G15" s="109">
        <v>3054</v>
      </c>
      <c r="H15" s="233">
        <f>F15*G15</f>
        <v>11095401.887999998</v>
      </c>
    </row>
    <row r="16" spans="1:8" ht="13.5" thickBot="1">
      <c r="A16" s="471" t="s">
        <v>91</v>
      </c>
      <c r="B16" s="472"/>
      <c r="C16" s="67"/>
      <c r="D16" s="67"/>
      <c r="E16" s="191">
        <f>AVERAGE(E11,E13,E15)</f>
        <v>239.68183333333332</v>
      </c>
      <c r="F16" s="95">
        <f>E16*12</f>
        <v>2876.1819999999998</v>
      </c>
      <c r="G16" s="112">
        <f>G11+G13+G15</f>
        <v>6665</v>
      </c>
      <c r="H16" s="116">
        <f>SUM(H12:H15)</f>
        <v>18307958.075999998</v>
      </c>
    </row>
    <row r="17" spans="1:8" ht="12.75" customHeight="1" hidden="1">
      <c r="A17" s="473" t="s">
        <v>186</v>
      </c>
      <c r="B17" s="479"/>
      <c r="C17" s="254"/>
      <c r="D17" s="255"/>
      <c r="E17" s="256"/>
      <c r="F17" s="173"/>
      <c r="G17" s="257"/>
      <c r="H17" s="259"/>
    </row>
    <row r="18" spans="1:8" ht="12.75" hidden="1">
      <c r="A18" s="475"/>
      <c r="B18" s="480"/>
      <c r="C18" s="42"/>
      <c r="D18" s="3"/>
      <c r="E18" s="26"/>
      <c r="F18" s="106"/>
      <c r="G18" s="192"/>
      <c r="H18" s="260">
        <f>H16-(H16*0.1)</f>
        <v>16477162.268399999</v>
      </c>
    </row>
    <row r="19" spans="1:8" ht="13.5" hidden="1" thickBot="1">
      <c r="A19" s="477"/>
      <c r="B19" s="481"/>
      <c r="C19" s="43"/>
      <c r="D19" s="110"/>
      <c r="E19" s="44"/>
      <c r="F19" s="111"/>
      <c r="G19" s="258"/>
      <c r="H19" s="261"/>
    </row>
    <row r="20" ht="13.5" thickBot="1"/>
    <row r="21" spans="1:8" ht="13.5" thickBot="1">
      <c r="A21" s="55"/>
      <c r="B21" s="104"/>
      <c r="C21" s="496">
        <v>2014</v>
      </c>
      <c r="D21" s="496"/>
      <c r="E21" s="496"/>
      <c r="F21" s="496"/>
      <c r="G21" s="496"/>
      <c r="H21" s="497"/>
    </row>
    <row r="22" spans="1:8" ht="12.75">
      <c r="A22" s="82"/>
      <c r="B22" s="83"/>
      <c r="C22" s="484" t="s">
        <v>112</v>
      </c>
      <c r="D22" s="486" t="s">
        <v>141</v>
      </c>
      <c r="E22" s="486" t="s">
        <v>87</v>
      </c>
      <c r="F22" s="494" t="s">
        <v>88</v>
      </c>
      <c r="G22" s="490" t="s">
        <v>89</v>
      </c>
      <c r="H22" s="492" t="s">
        <v>90</v>
      </c>
    </row>
    <row r="23" spans="1:8" ht="13.5" thickBot="1">
      <c r="A23" s="74"/>
      <c r="B23" s="88"/>
      <c r="C23" s="485"/>
      <c r="D23" s="487"/>
      <c r="E23" s="487"/>
      <c r="F23" s="495"/>
      <c r="G23" s="491"/>
      <c r="H23" s="493"/>
    </row>
    <row r="24" spans="1:8" ht="12.75">
      <c r="A24" s="482" t="s">
        <v>178</v>
      </c>
      <c r="B24" s="483"/>
      <c r="C24" s="167"/>
      <c r="D24" s="142"/>
      <c r="E24" s="142"/>
      <c r="F24" s="143"/>
      <c r="G24" s="232"/>
      <c r="H24" s="231"/>
    </row>
    <row r="25" spans="1:8" ht="13.5" thickBot="1">
      <c r="A25" s="74" t="s">
        <v>187</v>
      </c>
      <c r="B25" s="88"/>
      <c r="C25" s="247">
        <f>D4*0.25</f>
        <v>117.55524999999999</v>
      </c>
      <c r="D25" s="248">
        <f>D5*0.25</f>
        <v>274.8775</v>
      </c>
      <c r="E25" s="248">
        <f>AVERAGE(C25:D25)</f>
        <v>196.216375</v>
      </c>
      <c r="F25" s="249">
        <f>E25*12</f>
        <v>2354.5965000000001</v>
      </c>
      <c r="G25" s="378">
        <v>976</v>
      </c>
      <c r="H25" s="264">
        <f>F25*G25</f>
        <v>2298086.1839999999</v>
      </c>
    </row>
    <row r="26" spans="1:8" ht="12.75" customHeight="1">
      <c r="A26" s="467" t="s">
        <v>189</v>
      </c>
      <c r="B26" s="468"/>
      <c r="C26" s="101"/>
      <c r="D26" s="89"/>
      <c r="E26" s="89"/>
      <c r="F26" s="115"/>
      <c r="G26" s="105"/>
      <c r="H26" s="104"/>
    </row>
    <row r="27" spans="1:8" ht="13.5" thickBot="1">
      <c r="A27" s="469" t="s">
        <v>188</v>
      </c>
      <c r="B27" s="470"/>
      <c r="C27" s="113">
        <f>D4*0.3</f>
        <v>141.06629999999998</v>
      </c>
      <c r="D27" s="46">
        <f>D5*0.3</f>
        <v>329.85300000000001</v>
      </c>
      <c r="E27" s="46">
        <f>AVERAGE(C27:D27)</f>
        <v>235.45965000000001</v>
      </c>
      <c r="F27" s="233">
        <f>E27*12</f>
        <v>2825.5158000000001</v>
      </c>
      <c r="G27" s="109">
        <v>2697</v>
      </c>
      <c r="H27" s="178">
        <f>F27*G27</f>
        <v>7620416.1126000006</v>
      </c>
    </row>
    <row r="28" spans="1:8" ht="12.75" customHeight="1">
      <c r="A28" s="467" t="s">
        <v>47</v>
      </c>
      <c r="B28" s="468"/>
      <c r="C28" s="101"/>
      <c r="D28" s="89"/>
      <c r="E28" s="89"/>
      <c r="F28" s="115"/>
      <c r="G28" s="105"/>
      <c r="H28" s="104"/>
    </row>
    <row r="29" spans="1:8" ht="13.5" thickBot="1">
      <c r="A29" s="469" t="s">
        <v>190</v>
      </c>
      <c r="B29" s="470"/>
      <c r="C29" s="113">
        <f>D4*0.4</f>
        <v>188.08839999999998</v>
      </c>
      <c r="D29" s="46">
        <f>D5*0.4</f>
        <v>439.80400000000003</v>
      </c>
      <c r="E29" s="46">
        <f>AVERAGE(C29:D29)</f>
        <v>313.94619999999998</v>
      </c>
      <c r="F29" s="233">
        <f>E29*12</f>
        <v>3767.3543999999997</v>
      </c>
      <c r="G29" s="109">
        <v>3062</v>
      </c>
      <c r="H29" s="178">
        <f>F29*G29</f>
        <v>11535639.172799999</v>
      </c>
    </row>
    <row r="30" spans="1:8" ht="13.5" thickBot="1">
      <c r="A30" s="471" t="s">
        <v>91</v>
      </c>
      <c r="B30" s="472"/>
      <c r="C30" s="67"/>
      <c r="D30" s="67"/>
      <c r="E30" s="191">
        <f>AVERAGE(E25,E27,E29)</f>
        <v>248.54074166666666</v>
      </c>
      <c r="F30" s="95">
        <f>E30*12</f>
        <v>2982.4888999999998</v>
      </c>
      <c r="G30" s="112">
        <f>G25+G27+G29</f>
        <v>6735</v>
      </c>
      <c r="H30" s="117">
        <f>H25+H27+H29</f>
        <v>21454141.4694</v>
      </c>
    </row>
    <row r="31" spans="1:8" ht="12.75" customHeight="1" hidden="1">
      <c r="A31" s="473" t="s">
        <v>186</v>
      </c>
      <c r="B31" s="479"/>
      <c r="C31" s="254"/>
      <c r="D31" s="255"/>
      <c r="E31" s="256"/>
      <c r="F31" s="173"/>
      <c r="G31" s="257"/>
      <c r="H31" s="259"/>
    </row>
    <row r="32" spans="1:8" ht="12.75" hidden="1">
      <c r="A32" s="475"/>
      <c r="B32" s="480"/>
      <c r="C32" s="42"/>
      <c r="D32" s="3"/>
      <c r="E32" s="26"/>
      <c r="F32" s="106"/>
      <c r="G32" s="192"/>
      <c r="H32" s="262">
        <f>H30-(H30*0.1)</f>
        <v>19308727.322459999</v>
      </c>
    </row>
    <row r="33" spans="1:8" ht="13.5" hidden="1" thickBot="1">
      <c r="A33" s="477"/>
      <c r="B33" s="481"/>
      <c r="C33" s="43"/>
      <c r="D33" s="110"/>
      <c r="E33" s="44"/>
      <c r="F33" s="111"/>
      <c r="G33" s="258"/>
      <c r="H33" s="261"/>
    </row>
    <row r="34" ht="13.5" thickBot="1"/>
    <row r="35" spans="1:8" ht="13.5" thickBot="1">
      <c r="A35" s="55"/>
      <c r="B35" s="104"/>
      <c r="C35" s="488">
        <v>2015</v>
      </c>
      <c r="D35" s="488"/>
      <c r="E35" s="488"/>
      <c r="F35" s="488"/>
      <c r="G35" s="488"/>
      <c r="H35" s="489"/>
    </row>
    <row r="36" spans="1:8" ht="12.75">
      <c r="A36" s="82"/>
      <c r="B36" s="83"/>
      <c r="C36" s="484" t="s">
        <v>112</v>
      </c>
      <c r="D36" s="486" t="s">
        <v>141</v>
      </c>
      <c r="E36" s="486" t="s">
        <v>87</v>
      </c>
      <c r="F36" s="494" t="s">
        <v>88</v>
      </c>
      <c r="G36" s="490" t="s">
        <v>89</v>
      </c>
      <c r="H36" s="492" t="s">
        <v>90</v>
      </c>
    </row>
    <row r="37" spans="1:8" ht="13.5" thickBot="1">
      <c r="A37" s="74"/>
      <c r="B37" s="88"/>
      <c r="C37" s="485"/>
      <c r="D37" s="487"/>
      <c r="E37" s="487"/>
      <c r="F37" s="495"/>
      <c r="G37" s="491"/>
      <c r="H37" s="493"/>
    </row>
    <row r="38" spans="1:8" ht="12.75">
      <c r="A38" s="482" t="s">
        <v>178</v>
      </c>
      <c r="B38" s="483"/>
      <c r="C38" s="167"/>
      <c r="D38" s="142"/>
      <c r="E38" s="142"/>
      <c r="F38" s="143"/>
      <c r="G38" s="232"/>
      <c r="H38" s="231"/>
    </row>
    <row r="39" spans="1:8" ht="13.5" thickBot="1">
      <c r="A39" s="74" t="s">
        <v>187</v>
      </c>
      <c r="B39" s="88"/>
      <c r="C39" s="247">
        <f>E4*0.25</f>
        <v>121.08148249999999</v>
      </c>
      <c r="D39" s="248">
        <f>E5*0.25</f>
        <v>287.24440000000004</v>
      </c>
      <c r="E39" s="248">
        <f>AVERAGE(C39:D39)</f>
        <v>204.16294125000002</v>
      </c>
      <c r="F39" s="249">
        <f>E39*12</f>
        <v>2449.9552950000002</v>
      </c>
      <c r="G39" s="378">
        <v>1007</v>
      </c>
      <c r="H39" s="264">
        <f>F39*G39</f>
        <v>2467104.9820650001</v>
      </c>
    </row>
    <row r="40" spans="1:8" ht="12.75" customHeight="1">
      <c r="A40" s="467" t="s">
        <v>189</v>
      </c>
      <c r="B40" s="468"/>
      <c r="C40" s="101"/>
      <c r="D40" s="89"/>
      <c r="E40" s="89"/>
      <c r="F40" s="115"/>
      <c r="G40" s="105"/>
      <c r="H40" s="104"/>
    </row>
    <row r="41" spans="1:8" ht="13.5" thickBot="1">
      <c r="A41" s="469" t="s">
        <v>188</v>
      </c>
      <c r="B41" s="470"/>
      <c r="C41" s="113">
        <f>E4*0.3</f>
        <v>145.29777899999999</v>
      </c>
      <c r="D41" s="46">
        <f>E5*0.3</f>
        <v>344.69328000000002</v>
      </c>
      <c r="E41" s="46">
        <f>AVERAGE(C41:D41)</f>
        <v>244.9955295</v>
      </c>
      <c r="F41" s="233">
        <f>E41*12</f>
        <v>2939.9463540000002</v>
      </c>
      <c r="G41" s="109">
        <v>2863</v>
      </c>
      <c r="H41" s="178">
        <f>F41*G41</f>
        <v>8417066.4115019999</v>
      </c>
    </row>
    <row r="42" spans="1:8" ht="12.75" customHeight="1">
      <c r="A42" s="467" t="s">
        <v>47</v>
      </c>
      <c r="B42" s="468"/>
      <c r="C42" s="101"/>
      <c r="D42" s="89"/>
      <c r="E42" s="89"/>
      <c r="F42" s="115"/>
      <c r="G42" s="105"/>
      <c r="H42" s="104"/>
    </row>
    <row r="43" spans="1:8" ht="13.5" thickBot="1">
      <c r="A43" s="469" t="s">
        <v>190</v>
      </c>
      <c r="B43" s="470"/>
      <c r="C43" s="113">
        <f>E4*0.4</f>
        <v>193.73037199999999</v>
      </c>
      <c r="D43" s="46">
        <f>E5*0.4</f>
        <v>459.59104000000008</v>
      </c>
      <c r="E43" s="46">
        <f>AVERAGE(C43:D43)</f>
        <v>326.660706</v>
      </c>
      <c r="F43" s="233">
        <f>E43*12</f>
        <v>3919.9284720000001</v>
      </c>
      <c r="G43" s="109">
        <v>3185</v>
      </c>
      <c r="H43" s="178">
        <f>F43*G43</f>
        <v>12484972.183320001</v>
      </c>
    </row>
    <row r="44" spans="1:8" ht="13.5" thickBot="1">
      <c r="A44" s="471" t="s">
        <v>91</v>
      </c>
      <c r="B44" s="472"/>
      <c r="C44" s="67"/>
      <c r="D44" s="67"/>
      <c r="E44" s="191">
        <f>AVERAGE(E39,E41,E43)</f>
        <v>258.60639225</v>
      </c>
      <c r="F44" s="95">
        <f>E44*12</f>
        <v>3103.276707</v>
      </c>
      <c r="G44" s="112">
        <f>G39+G41+G43</f>
        <v>7055</v>
      </c>
      <c r="H44" s="252">
        <f>H39+H41+H43</f>
        <v>23369143.576887</v>
      </c>
    </row>
    <row r="45" spans="1:8" ht="12.75" hidden="1">
      <c r="A45" s="473" t="s">
        <v>186</v>
      </c>
      <c r="B45" s="474"/>
      <c r="C45" s="254"/>
      <c r="D45" s="255"/>
      <c r="E45" s="256"/>
      <c r="F45" s="173"/>
      <c r="G45" s="257"/>
      <c r="H45" s="259"/>
    </row>
    <row r="46" spans="1:8" ht="12.75" hidden="1">
      <c r="A46" s="475"/>
      <c r="B46" s="476"/>
      <c r="C46" s="42"/>
      <c r="D46" s="3"/>
      <c r="E46" s="26"/>
      <c r="F46" s="106"/>
      <c r="G46" s="192"/>
      <c r="H46" s="263">
        <f>H44-(H44*0.1)</f>
        <v>21032229.219198301</v>
      </c>
    </row>
    <row r="47" spans="1:8" ht="13.5" hidden="1" thickBot="1">
      <c r="A47" s="477"/>
      <c r="B47" s="478"/>
      <c r="C47" s="43"/>
      <c r="D47" s="110"/>
      <c r="E47" s="44"/>
      <c r="F47" s="111"/>
      <c r="G47" s="258"/>
      <c r="H47" s="261"/>
    </row>
  </sheetData>
  <sheetProtection/>
  <mergeCells count="42">
    <mergeCell ref="C7:H7"/>
    <mergeCell ref="C8:C9"/>
    <mergeCell ref="D8:D9"/>
    <mergeCell ref="E8:E9"/>
    <mergeCell ref="F8:F9"/>
    <mergeCell ref="G8:G9"/>
    <mergeCell ref="H8:H9"/>
    <mergeCell ref="A10:B10"/>
    <mergeCell ref="C21:H21"/>
    <mergeCell ref="A12:B12"/>
    <mergeCell ref="A13:B13"/>
    <mergeCell ref="G22:G23"/>
    <mergeCell ref="H22:H23"/>
    <mergeCell ref="E22:E23"/>
    <mergeCell ref="F22:F23"/>
    <mergeCell ref="A14:B14"/>
    <mergeCell ref="H36:H37"/>
    <mergeCell ref="E36:E37"/>
    <mergeCell ref="F36:F37"/>
    <mergeCell ref="A29:B29"/>
    <mergeCell ref="A30:B30"/>
    <mergeCell ref="A15:B15"/>
    <mergeCell ref="A41:B41"/>
    <mergeCell ref="C36:C37"/>
    <mergeCell ref="D36:D37"/>
    <mergeCell ref="C35:H35"/>
    <mergeCell ref="C22:C23"/>
    <mergeCell ref="D22:D23"/>
    <mergeCell ref="A38:B38"/>
    <mergeCell ref="A28:B28"/>
    <mergeCell ref="A26:B26"/>
    <mergeCell ref="G36:G37"/>
    <mergeCell ref="A42:B42"/>
    <mergeCell ref="A40:B40"/>
    <mergeCell ref="A27:B27"/>
    <mergeCell ref="A16:B16"/>
    <mergeCell ref="A45:B47"/>
    <mergeCell ref="A31:B33"/>
    <mergeCell ref="A17:B19"/>
    <mergeCell ref="A43:B43"/>
    <mergeCell ref="A44:B44"/>
    <mergeCell ref="A24:B24"/>
  </mergeCells>
  <pageMargins left="0.75" right="0.75" top="1" bottom="1" header="0.4921259845" footer="0.4921259845"/>
  <pageSetup orientation="portrait" paperSize="9" scale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1:H23"/>
  <sheetViews>
    <sheetView workbookViewId="0" topLeftCell="A1">
      <selection pane="topLeft" activeCell="J18" sqref="J18"/>
    </sheetView>
  </sheetViews>
  <sheetFormatPr defaultRowHeight="12.75"/>
  <cols>
    <col min="1" max="1" width="16.1428571428571" customWidth="1"/>
    <col min="2" max="2" width="15.7142857142857" customWidth="1"/>
    <col min="3" max="5" width="13.7142857142857" customWidth="1"/>
    <col min="6" max="6" width="15" customWidth="1"/>
  </cols>
  <sheetData>
    <row r="1" spans="1:8" ht="12.75" customHeight="1">
      <c r="A1" s="514" t="s">
        <v>193</v>
      </c>
      <c r="B1" s="514"/>
      <c r="C1" s="514"/>
      <c r="D1" s="514"/>
      <c r="E1" s="514"/>
      <c r="F1" s="514"/>
      <c r="G1" s="97"/>
      <c r="H1" s="97"/>
    </row>
    <row r="3" spans="1:5" ht="12.75">
      <c r="A3" s="32"/>
      <c r="B3" s="3">
        <v>2012</v>
      </c>
      <c r="C3" s="3">
        <v>2013</v>
      </c>
      <c r="D3" s="3">
        <v>2014</v>
      </c>
      <c r="E3" s="18">
        <v>2015</v>
      </c>
    </row>
    <row r="4" spans="1:5" ht="12.75">
      <c r="A4" s="3" t="s">
        <v>31</v>
      </c>
      <c r="B4" s="26">
        <f>'zakladné ukazovatele'!M53</f>
        <v>442.34000000000003</v>
      </c>
      <c r="C4" s="26">
        <f>'zakladné ukazovatele'!T38</f>
        <v>456.53999999999996</v>
      </c>
      <c r="D4" s="26">
        <f>'zakladné ukazovatele'!T53</f>
        <v>470.22099999999995</v>
      </c>
      <c r="E4" s="8">
        <f>'zakladné ukazovatele'!T97</f>
        <v>484.32592999999997</v>
      </c>
    </row>
    <row r="5" spans="1:5" ht="12.75">
      <c r="A5" s="3" t="s">
        <v>32</v>
      </c>
      <c r="B5" s="26">
        <f>'zakladné ukazovatele'!F68</f>
        <v>1034.27</v>
      </c>
      <c r="C5" s="26">
        <f>'zakladné ukazovatele'!M68</f>
        <v>1057.24</v>
      </c>
      <c r="D5" s="26">
        <f>'zakladné ukazovatele'!F83</f>
        <v>1099.51</v>
      </c>
      <c r="E5" s="8">
        <f>'zakladné ukazovatele'!M97</f>
        <v>1148.9776000000002</v>
      </c>
    </row>
    <row r="6" ht="13.5" thickBot="1"/>
    <row r="7" spans="1:6" ht="13.5" thickBot="1">
      <c r="A7" s="444">
        <v>2013</v>
      </c>
      <c r="B7" s="445"/>
      <c r="C7" s="445"/>
      <c r="D7" s="445"/>
      <c r="E7" s="445"/>
      <c r="F7" s="515"/>
    </row>
    <row r="8" spans="1:6" ht="12.75" customHeight="1">
      <c r="A8" s="508" t="s">
        <v>54</v>
      </c>
      <c r="B8" s="509"/>
      <c r="C8" s="510"/>
      <c r="D8" s="501" t="s">
        <v>137</v>
      </c>
      <c r="E8" s="502"/>
      <c r="F8" s="505" t="s">
        <v>90</v>
      </c>
    </row>
    <row r="9" spans="1:6" ht="13.5" thickBot="1">
      <c r="A9" s="401" t="s">
        <v>238</v>
      </c>
      <c r="B9" s="404" t="s">
        <v>239</v>
      </c>
      <c r="C9" s="402" t="s">
        <v>240</v>
      </c>
      <c r="D9" s="503"/>
      <c r="E9" s="504"/>
      <c r="F9" s="506"/>
    </row>
    <row r="10" spans="1:6" ht="12.75">
      <c r="A10" s="403" t="s">
        <v>242</v>
      </c>
      <c r="B10" s="255" t="s">
        <v>241</v>
      </c>
      <c r="C10" s="395"/>
      <c r="D10" s="394" t="s">
        <v>138</v>
      </c>
      <c r="E10" s="405" t="s">
        <v>139</v>
      </c>
      <c r="F10" s="507"/>
    </row>
    <row r="11" spans="1:6" ht="13.5" thickBot="1">
      <c r="A11" s="179">
        <f>C4*0.8/2</f>
        <v>182.61599999999999</v>
      </c>
      <c r="B11" s="75">
        <f>C5*0.6</f>
        <v>634.34399999999994</v>
      </c>
      <c r="C11" s="76">
        <f>AVERAGE(A11:B11)</f>
        <v>408.47999999999996</v>
      </c>
      <c r="D11" s="180">
        <v>8536</v>
      </c>
      <c r="E11" s="100">
        <v>9</v>
      </c>
      <c r="F11" s="181">
        <f>C11*D11*E11</f>
        <v>31381067.52</v>
      </c>
    </row>
    <row r="12" ht="13.5" thickBot="1"/>
    <row r="13" spans="1:6" ht="13.5" thickBot="1">
      <c r="A13" s="446">
        <v>2014</v>
      </c>
      <c r="B13" s="447"/>
      <c r="C13" s="447"/>
      <c r="D13" s="447"/>
      <c r="E13" s="447"/>
      <c r="F13" s="448"/>
    </row>
    <row r="14" spans="1:6" ht="12.75" customHeight="1">
      <c r="A14" s="511" t="s">
        <v>54</v>
      </c>
      <c r="B14" s="512"/>
      <c r="C14" s="513"/>
      <c r="D14" s="501" t="s">
        <v>137</v>
      </c>
      <c r="E14" s="502"/>
      <c r="F14" s="505" t="s">
        <v>90</v>
      </c>
    </row>
    <row r="15" spans="1:6" ht="13.5" thickBot="1">
      <c r="A15" s="406" t="s">
        <v>238</v>
      </c>
      <c r="B15" s="407" t="s">
        <v>239</v>
      </c>
      <c r="C15" s="408" t="s">
        <v>240</v>
      </c>
      <c r="D15" s="503"/>
      <c r="E15" s="504"/>
      <c r="F15" s="506"/>
    </row>
    <row r="16" spans="1:6" ht="12.75">
      <c r="A16" s="403" t="s">
        <v>242</v>
      </c>
      <c r="B16" s="255" t="s">
        <v>241</v>
      </c>
      <c r="C16" s="4" t="s">
        <v>113</v>
      </c>
      <c r="D16" s="394" t="s">
        <v>138</v>
      </c>
      <c r="E16" s="405" t="s">
        <v>139</v>
      </c>
      <c r="F16" s="507"/>
    </row>
    <row r="17" spans="1:6" ht="13.5" thickBot="1">
      <c r="A17" s="179">
        <f>D4*0.8/2</f>
        <v>188.08839999999998</v>
      </c>
      <c r="B17" s="75">
        <f>D5*0.6</f>
        <v>659.70600000000002</v>
      </c>
      <c r="C17" s="111">
        <f>AVERAGE(A17:B17)</f>
        <v>423.8972</v>
      </c>
      <c r="D17" s="180">
        <v>8476</v>
      </c>
      <c r="E17" s="100">
        <v>9</v>
      </c>
      <c r="F17" s="182">
        <f>C17*D17*E17</f>
        <v>32336574.004799999</v>
      </c>
    </row>
    <row r="18" ht="13.5" thickBot="1"/>
    <row r="19" spans="1:6" ht="13.5" thickBot="1">
      <c r="A19" s="500">
        <v>2015</v>
      </c>
      <c r="B19" s="449"/>
      <c r="C19" s="449"/>
      <c r="D19" s="449"/>
      <c r="E19" s="449"/>
      <c r="F19" s="450"/>
    </row>
    <row r="20" spans="1:6" ht="12.75" customHeight="1">
      <c r="A20" s="511" t="s">
        <v>54</v>
      </c>
      <c r="B20" s="512"/>
      <c r="C20" s="513"/>
      <c r="D20" s="501" t="s">
        <v>137</v>
      </c>
      <c r="E20" s="502"/>
      <c r="F20" s="505" t="s">
        <v>90</v>
      </c>
    </row>
    <row r="21" spans="1:6" ht="13.5" thickBot="1">
      <c r="A21" s="406" t="s">
        <v>238</v>
      </c>
      <c r="B21" s="407" t="s">
        <v>239</v>
      </c>
      <c r="C21" s="408" t="s">
        <v>240</v>
      </c>
      <c r="D21" s="503"/>
      <c r="E21" s="504"/>
      <c r="F21" s="506"/>
    </row>
    <row r="22" spans="1:6" ht="12.75">
      <c r="A22" s="403" t="s">
        <v>242</v>
      </c>
      <c r="B22" s="255" t="s">
        <v>241</v>
      </c>
      <c r="C22" s="4" t="s">
        <v>113</v>
      </c>
      <c r="D22" s="394" t="s">
        <v>138</v>
      </c>
      <c r="E22" s="405" t="s">
        <v>139</v>
      </c>
      <c r="F22" s="507"/>
    </row>
    <row r="23" spans="1:6" ht="13.5" thickBot="1">
      <c r="A23" s="179">
        <f>E4*0.8/2</f>
        <v>193.73037199999999</v>
      </c>
      <c r="B23" s="75">
        <f>E5*0.6</f>
        <v>689.38656000000003</v>
      </c>
      <c r="C23" s="111">
        <f>AVERAGE(A23:B23)</f>
        <v>441.55846600000001</v>
      </c>
      <c r="D23" s="180">
        <v>8345</v>
      </c>
      <c r="E23" s="100">
        <v>9</v>
      </c>
      <c r="F23" s="269">
        <f>C23*D23*E23</f>
        <v>33163248.58893</v>
      </c>
    </row>
  </sheetData>
  <sheetProtection/>
  <mergeCells count="13">
    <mergeCell ref="A1:F1"/>
    <mergeCell ref="A13:F13"/>
    <mergeCell ref="D14:E15"/>
    <mergeCell ref="F14:F16"/>
    <mergeCell ref="A7:F7"/>
    <mergeCell ref="D8:E9"/>
    <mergeCell ref="A19:F19"/>
    <mergeCell ref="D20:E21"/>
    <mergeCell ref="F20:F22"/>
    <mergeCell ref="F8:F10"/>
    <mergeCell ref="A8:C8"/>
    <mergeCell ref="A14:C14"/>
    <mergeCell ref="A20:C20"/>
  </mergeCells>
  <pageMargins left="0.75" right="0.75" top="1" bottom="1" header="0.4921259845" footer="0.4921259845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indexed="14"/>
  </sheetPr>
  <dimension ref="A2:L20"/>
  <sheetViews>
    <sheetView workbookViewId="0" topLeftCell="A1">
      <selection pane="topLeft" activeCell="E25" sqref="E25"/>
    </sheetView>
  </sheetViews>
  <sheetFormatPr defaultRowHeight="12.75"/>
  <cols>
    <col min="3" max="3" width="8.28571428571429" customWidth="1"/>
    <col min="4" max="12" width="15.7142857142857" customWidth="1"/>
  </cols>
  <sheetData>
    <row r="2" spans="1:1" ht="12.75">
      <c r="A2" s="1" t="s">
        <v>34</v>
      </c>
    </row>
    <row r="4" spans="1:1" ht="12.75">
      <c r="A4" s="31" t="s">
        <v>192</v>
      </c>
    </row>
    <row r="5" spans="1:3" ht="12.75">
      <c r="A5" s="3" t="s">
        <v>39</v>
      </c>
      <c r="B5" s="3"/>
      <c r="C5" s="48" t="s">
        <v>166</v>
      </c>
    </row>
    <row r="6" spans="1:6" ht="12.75">
      <c r="A6" s="3" t="s">
        <v>35</v>
      </c>
      <c r="B6" s="3"/>
      <c r="C6" s="8">
        <f>'zakladné ukazovatele'!J17</f>
        <v>189.82911999999999</v>
      </c>
      <c r="F6" s="103" t="s">
        <v>166</v>
      </c>
    </row>
    <row r="7" spans="1:7" ht="12.75">
      <c r="A7" s="3" t="s">
        <v>36</v>
      </c>
      <c r="B7" s="3"/>
      <c r="C7" s="8">
        <f>'zakladné ukazovatele'!J18</f>
        <v>194.58000000000001</v>
      </c>
      <c r="E7" s="3" t="s">
        <v>42</v>
      </c>
      <c r="F7" s="218">
        <f>AVERAGE(C6:C7)</f>
        <v>192.20456000000002</v>
      </c>
      <c r="G7" s="40"/>
    </row>
    <row r="8" spans="1:7" ht="12.75">
      <c r="A8" s="3" t="s">
        <v>37</v>
      </c>
      <c r="B8" s="3"/>
      <c r="C8" s="8">
        <f>'zakladné ukazovatele'!J19</f>
        <v>199.44450000000001</v>
      </c>
      <c r="E8" s="3" t="s">
        <v>43</v>
      </c>
      <c r="F8" s="218">
        <f>AVERAGE(C7:C8)</f>
        <v>197.01225</v>
      </c>
      <c r="G8" s="40"/>
    </row>
    <row r="9" spans="1:7" ht="12.75">
      <c r="A9" s="3" t="s">
        <v>38</v>
      </c>
      <c r="B9" s="3"/>
      <c r="C9" s="8">
        <f>'zakladné ukazovatele'!J20</f>
        <v>204.4306125</v>
      </c>
      <c r="E9" s="3" t="s">
        <v>44</v>
      </c>
      <c r="F9" s="218">
        <f>AVERAGE(C8:C9)</f>
        <v>201.93755625</v>
      </c>
      <c r="G9" s="40"/>
    </row>
    <row r="10" spans="1:6" ht="12.75">
      <c r="A10" s="3" t="s">
        <v>158</v>
      </c>
      <c r="B10" s="3"/>
      <c r="C10" s="8">
        <f>'zakladné ukazovatele'!J21</f>
        <v>209.5413778125</v>
      </c>
      <c r="E10" s="3" t="s">
        <v>44</v>
      </c>
      <c r="F10" s="8">
        <f>AVERAGE(C9:C10)</f>
        <v>206.98599515625</v>
      </c>
    </row>
    <row r="11" spans="7:12" ht="13.5" thickBot="1">
      <c r="G11" s="4"/>
      <c r="H11" s="4"/>
      <c r="I11" s="4"/>
      <c r="J11" s="4"/>
      <c r="K11" s="4"/>
      <c r="L11" s="4"/>
    </row>
    <row r="12" spans="1:12" ht="13.5" thickBot="1">
      <c r="A12" s="519"/>
      <c r="B12" s="520"/>
      <c r="C12" s="520"/>
      <c r="D12" s="187">
        <v>2013</v>
      </c>
      <c r="E12" s="188">
        <v>2014</v>
      </c>
      <c r="F12" s="234">
        <v>2015</v>
      </c>
      <c r="H12" s="195"/>
      <c r="I12" s="195"/>
      <c r="J12" s="516"/>
      <c r="K12" s="516"/>
      <c r="L12" s="516"/>
    </row>
    <row r="13" spans="1:12" ht="13.5" thickBot="1">
      <c r="A13" s="521" t="s">
        <v>169</v>
      </c>
      <c r="B13" s="522"/>
      <c r="C13" s="522"/>
      <c r="D13" s="189" t="s">
        <v>191</v>
      </c>
      <c r="E13" s="190" t="s">
        <v>191</v>
      </c>
      <c r="F13" s="190" t="s">
        <v>191</v>
      </c>
      <c r="H13" s="37"/>
      <c r="I13" s="37"/>
      <c r="J13" s="37"/>
      <c r="K13" s="37"/>
      <c r="L13" s="37"/>
    </row>
    <row r="14" spans="1:12" ht="12.75">
      <c r="A14" s="455" t="s">
        <v>151</v>
      </c>
      <c r="B14" s="456"/>
      <c r="C14" s="456"/>
      <c r="D14" s="219">
        <f>F8*0.65</f>
        <v>128.0579625</v>
      </c>
      <c r="E14" s="220">
        <f>F9*0.65</f>
        <v>131.25941156249999</v>
      </c>
      <c r="F14" s="221">
        <f>F10*0.65</f>
        <v>134.54089685156251</v>
      </c>
      <c r="H14" s="33"/>
      <c r="I14" s="33"/>
      <c r="J14" s="33"/>
      <c r="K14" s="33"/>
      <c r="L14" s="33"/>
    </row>
    <row r="15" spans="1:12" ht="12.75">
      <c r="A15" s="42" t="s">
        <v>40</v>
      </c>
      <c r="B15" s="3"/>
      <c r="C15" s="22"/>
      <c r="D15" s="208">
        <f>D14*6</f>
        <v>768.34777499999996</v>
      </c>
      <c r="E15" s="222">
        <f>E14*6</f>
        <v>787.55646937500001</v>
      </c>
      <c r="F15" s="208">
        <f>F14*6</f>
        <v>807.2453811093751</v>
      </c>
      <c r="H15" s="33"/>
      <c r="I15" s="33"/>
      <c r="J15" s="33"/>
      <c r="K15" s="33"/>
      <c r="L15" s="33"/>
    </row>
    <row r="16" spans="1:12" ht="12.75">
      <c r="A16" s="183" t="s">
        <v>152</v>
      </c>
      <c r="B16" s="23"/>
      <c r="C16" s="23"/>
      <c r="D16" s="208">
        <f>D14*4</f>
        <v>512.23185000000001</v>
      </c>
      <c r="E16" s="208">
        <f>E14*4</f>
        <v>525.03764624999997</v>
      </c>
      <c r="F16" s="208">
        <f>F14*4</f>
        <v>538.16358740625003</v>
      </c>
      <c r="H16" s="33"/>
      <c r="I16" s="33"/>
      <c r="J16" s="33"/>
      <c r="K16" s="33"/>
      <c r="L16" s="33"/>
    </row>
    <row r="17" spans="1:12" ht="12.75">
      <c r="A17" s="183"/>
      <c r="B17" s="23"/>
      <c r="C17" s="23"/>
      <c r="D17" s="108"/>
      <c r="E17" s="84"/>
      <c r="F17" s="108"/>
      <c r="H17" s="33"/>
      <c r="I17" s="33"/>
      <c r="J17" s="33"/>
      <c r="K17" s="33"/>
      <c r="L17" s="33"/>
    </row>
    <row r="18" spans="1:12" ht="13.5" thickBot="1">
      <c r="A18" s="523" t="s">
        <v>41</v>
      </c>
      <c r="B18" s="524"/>
      <c r="C18" s="524"/>
      <c r="D18" s="156">
        <v>18210</v>
      </c>
      <c r="E18" s="265">
        <v>18497</v>
      </c>
      <c r="F18" s="156">
        <v>18632</v>
      </c>
      <c r="H18" s="38"/>
      <c r="I18" s="38"/>
      <c r="J18" s="38"/>
      <c r="K18" s="38"/>
      <c r="L18" s="38"/>
    </row>
    <row r="19" spans="1:12" ht="13.5" thickBot="1">
      <c r="A19" s="517" t="s">
        <v>170</v>
      </c>
      <c r="B19" s="518"/>
      <c r="C19" s="518"/>
      <c r="D19" s="266">
        <f>D18*D16</f>
        <v>9327741.9885000009</v>
      </c>
      <c r="E19" s="267">
        <f>E18*E16</f>
        <v>9711621.3426862489</v>
      </c>
      <c r="F19" s="268">
        <f>F18*F16</f>
        <v>10027063.960553251</v>
      </c>
      <c r="H19" s="39"/>
      <c r="I19" s="39"/>
      <c r="J19" s="39"/>
      <c r="K19" s="39"/>
      <c r="L19" s="39"/>
    </row>
    <row r="20" spans="7:12" ht="12.75">
      <c r="G20" s="4"/>
      <c r="H20" s="4"/>
      <c r="I20" s="4"/>
      <c r="J20" s="4"/>
      <c r="K20" s="4"/>
      <c r="L20" s="4"/>
    </row>
  </sheetData>
  <sheetProtection/>
  <mergeCells count="6">
    <mergeCell ref="J12:L12"/>
    <mergeCell ref="A19:C19"/>
    <mergeCell ref="A12:C12"/>
    <mergeCell ref="A14:C14"/>
    <mergeCell ref="A13:C13"/>
    <mergeCell ref="A18:C18"/>
  </mergeCells>
  <pageMargins left="0.75" right="0.75" top="1" bottom="1" header="0.4921259845" footer="0.4921259845"/>
  <pageSetup orientation="portrait" paperSize="9" scale="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>MPSVR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pavelkova</dc:creator>
  <cp:keywords/>
  <dc:description/>
  <cp:lastModifiedBy>durannova</cp:lastModifiedBy>
  <cp:lastPrinted>2012-12-20T06:05:58Z</cp:lastPrinted>
  <dcterms:created xsi:type="dcterms:W3CDTF">2011-02-10T06:38:13Z</dcterms:created>
  <dcterms:modified xsi:type="dcterms:W3CDTF">2013-01-10T07:54:23Z</dcterms:modified>
  <cp:category/>
</cp:coreProperties>
</file>